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60" yWindow="65341" windowWidth="13545" windowHeight="13050" activeTab="2"/>
  </bookViews>
  <sheets>
    <sheet name="Доходы" sheetId="1" r:id="rId1"/>
    <sheet name="Расходы" sheetId="2" r:id="rId2"/>
    <sheet name="Источники" sheetId="3" r:id="rId3"/>
  </sheets>
  <definedNames>
    <definedName name="_xlnm._FilterDatabase" localSheetId="0" hidden="1">'Доходы'!$A$15:$M$385</definedName>
    <definedName name="_xlnm._FilterDatabase" localSheetId="1" hidden="1">'Расходы'!$A$5:$G$1451</definedName>
    <definedName name="_xlnm.Print_Titles" localSheetId="0">'Доходы'!$15:$15</definedName>
    <definedName name="_xlnm.Print_Titles" localSheetId="1">'Расходы'!$5:$5</definedName>
    <definedName name="_xlnm.Print_Area" localSheetId="0">'Доходы'!$A$1:$M$385</definedName>
    <definedName name="_xlnm.Print_Area" localSheetId="2">'Источники'!$A$1:$M$54</definedName>
    <definedName name="_xlnm.Print_Area" localSheetId="1">'Расходы'!$A$1:$F$1640</definedName>
  </definedNames>
  <calcPr fullCalcOnLoad="1"/>
</workbook>
</file>

<file path=xl/sharedStrings.xml><?xml version="1.0" encoding="utf-8"?>
<sst xmlns="http://schemas.openxmlformats.org/spreadsheetml/2006/main" count="7257" uniqueCount="2498">
  <si>
    <t>Муниципальная программа Таймырского Долгано-Ненецкого муниципального района «Защита населения и территорий Таймырского Долгано-Ненецкого муниципального района Красноярского края от чрезвычайных ситуаций природного и техногенного характера»</t>
  </si>
  <si>
    <t xml:space="preserve">Муниципальная программа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t>
  </si>
  <si>
    <t xml:space="preserve">Муниципальная программа Таймырского Долгано-Ненецкого муниципального района «Улучшение жилищных условий отдельных категорий граждан Таймырского Долгано-Ненецкого муниципального района» </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</si>
  <si>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</si>
  <si>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201.0102.3000001010.122</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</si>
  <si>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</si>
  <si>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</si>
  <si>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Расходы на обеспечение лиц из числа коренных малочисленных народов Севера, занимающихся видом традиционной хозяйственной деятельности - оленеводством, лекарственными и медицинскими препаратами (медицинскими аптечками)</t>
  </si>
  <si>
    <t>7518</t>
  </si>
  <si>
    <t>7521</t>
  </si>
  <si>
    <t>Транспорт</t>
  </si>
  <si>
    <t>Физическая культура</t>
  </si>
  <si>
    <t>Депутаты представительного органа муниципального образования</t>
  </si>
  <si>
    <t>Другие вопросы в области образования</t>
  </si>
  <si>
    <t>2822</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</si>
  <si>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</si>
  <si>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</si>
  <si>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</si>
  <si>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Проценты, полученные от предоставления бюджетных кредитов внутри страны</t>
  </si>
  <si>
    <t>274.0703.0000000000.000</t>
  </si>
  <si>
    <t>274.0703.0200000000.000</t>
  </si>
  <si>
    <t>274.0703.0200002040.000</t>
  </si>
  <si>
    <t>274.0703.0200002040.100</t>
  </si>
  <si>
    <t>274.0703.0200002040.110</t>
  </si>
  <si>
    <t>274.0703.0200002040.111</t>
  </si>
  <si>
    <t>274.0703.0200002040.112</t>
  </si>
  <si>
    <t>274.0703.0200002040.119</t>
  </si>
  <si>
    <t>274.0703.0200002040.200</t>
  </si>
  <si>
    <t>274.0703.0200002040.240</t>
  </si>
  <si>
    <t>274.0703.0200002040.243</t>
  </si>
  <si>
    <t>274.0703.0200002040.244</t>
  </si>
  <si>
    <t>274.0703.0200002040.800</t>
  </si>
  <si>
    <t>274.0703.0200002040.850</t>
  </si>
  <si>
    <t>274.0703.0200002040.852</t>
  </si>
  <si>
    <t>274.0703.0200002040.853</t>
  </si>
  <si>
    <t>Субсидии автономным учреждениям на иные цели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</si>
  <si>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</si>
  <si>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</si>
  <si>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</si>
  <si>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</si>
  <si>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</si>
  <si>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Расходы на выплаты персоналу казенных учреждений</t>
  </si>
  <si>
    <t>Межбюджетные трансферты</t>
  </si>
  <si>
    <t>Социальное обеспечение и иные выплаты населению</t>
  </si>
  <si>
    <t>Социальные выплаты гражданам, кроме публичных нормативных социальных выплат</t>
  </si>
  <si>
    <t>Публичные нормативные социальные выплаты гражданам</t>
  </si>
  <si>
    <t>Предоставление субсидий бюджетным, автономным учреждениям и иным некоммерческим организациям</t>
  </si>
  <si>
    <t>Субсидии автономным учреждениям</t>
  </si>
  <si>
    <t>Субсидии бюджетным учреждениям</t>
  </si>
  <si>
    <t>Дотации</t>
  </si>
  <si>
    <t>Приобретение товаров, работ, услуг в пользу граждан в целях их социального обеспечения</t>
  </si>
  <si>
    <t>Прочие поступления от денежных взысканий (штрафов) и иных сумм в возмещение ущерба, наложенные на территории сельских поселений муниципального района</t>
  </si>
  <si>
    <t>17</t>
  </si>
  <si>
    <t>180</t>
  </si>
  <si>
    <t>2</t>
  </si>
  <si>
    <t>151</t>
  </si>
  <si>
    <t>001</t>
  </si>
  <si>
    <t>710</t>
  </si>
  <si>
    <t>Прочие межбюджетные трансферты общего характера</t>
  </si>
  <si>
    <t>Дошкольное образование</t>
  </si>
  <si>
    <t>Общее образование</t>
  </si>
  <si>
    <t>Резервные фонды</t>
  </si>
  <si>
    <t>Резервные фонды местных администраций</t>
  </si>
  <si>
    <t>Дотации на выравнивание бюджетной обеспеченности субъектов Российской Федерации и муниципальных образований</t>
  </si>
  <si>
    <t>Прочие доходы, получаемые учреждениями и предприятиями муниципального района</t>
  </si>
  <si>
    <t>233</t>
  </si>
  <si>
    <t>240</t>
  </si>
  <si>
    <t>14</t>
  </si>
  <si>
    <t>06</t>
  </si>
  <si>
    <t>430</t>
  </si>
  <si>
    <t>Единый сельскохозяйственный налог</t>
  </si>
  <si>
    <t>ГОСУДАРСТВЕННАЯ ПОШЛИНА</t>
  </si>
  <si>
    <t>201.0412.1100028270.244</t>
  </si>
  <si>
    <t>201.0412.1100075230.000</t>
  </si>
  <si>
    <t>201.0412.1100075230.800</t>
  </si>
  <si>
    <t>201.0412.1100075230.810</t>
  </si>
  <si>
    <t>201.0412.1100075280.000</t>
  </si>
  <si>
    <t>201.0412.1100075280.200</t>
  </si>
  <si>
    <t>201.0412.1100075280.240</t>
  </si>
  <si>
    <t>201.0412.1100075280.244</t>
  </si>
  <si>
    <t>201.0600.0000000000.000</t>
  </si>
  <si>
    <t>201.0605.0000000000.000</t>
  </si>
  <si>
    <t>201.0605.3000000000.000</t>
  </si>
  <si>
    <t>201.0605.3000075150.000</t>
  </si>
  <si>
    <t>201.0605.3000075150.100</t>
  </si>
  <si>
    <t>201.0605.3000075150.120</t>
  </si>
  <si>
    <t>201.0605.3000075150.121</t>
  </si>
  <si>
    <t>201.0605.3000075150.122</t>
  </si>
  <si>
    <t>201.0605.3000075150.129</t>
  </si>
  <si>
    <t>201.0605.3000075150.200</t>
  </si>
  <si>
    <t>201.0605.3000075150.240</t>
  </si>
  <si>
    <t>201.0605.3000075150.244</t>
  </si>
  <si>
    <t>201.0700.0000000000.000</t>
  </si>
  <si>
    <t>7524</t>
  </si>
  <si>
    <t>ОБЩЕГОСУДАРСТВЕННЫЕ ВОПРОСЫ</t>
  </si>
  <si>
    <t>ФИЗИЧЕСКАЯ КУЛЬТУРА И СПОРТ</t>
  </si>
  <si>
    <t>СРЕДСТВА МАССОВОЙ ИНФОРМАЦИИ</t>
  </si>
  <si>
    <t>Расходы на обеспечение деятельности школ-интернатов</t>
  </si>
  <si>
    <t>Мероприятия, направленные на организацию и проведение завоза топливно-энергетических ресурсов на территорию Таймырского Долгано-Ненецкого муниципального района</t>
  </si>
  <si>
    <t>Предоставление субсидий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</si>
  <si>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</si>
  <si>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</si>
  <si>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</si>
  <si>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Субсидии на поддержку деятельности муниципальных молодежных центров</t>
  </si>
  <si>
    <t>Прочие субсидии</t>
  </si>
  <si>
    <t>Прочие субсидии бюджетам муниципальных районов</t>
  </si>
  <si>
    <t>Субвенции бюджетам на государственную регистрацию актов гражданского состояния</t>
  </si>
  <si>
    <t>Мероприятия в области физической культуры и спорта</t>
  </si>
  <si>
    <t>Расходы на государственную регистрацию актов гражданского состояния</t>
  </si>
  <si>
    <t>201.1003.0900006160.300</t>
  </si>
  <si>
    <t>201.0203.3000000000.000</t>
  </si>
  <si>
    <t>201.0203.3000051180.000</t>
  </si>
  <si>
    <t>201.0203.3000051180.500</t>
  </si>
  <si>
    <t>201.0203.3000051180.540</t>
  </si>
  <si>
    <t>201.0400.0000000000.000</t>
  </si>
  <si>
    <t>201.0405.0000000000.000</t>
  </si>
  <si>
    <t>201.0405.3000000000.000</t>
  </si>
  <si>
    <t>201.0405.3000075170.000</t>
  </si>
  <si>
    <t>201.0405.3000075170.100</t>
  </si>
  <si>
    <t>201.0405.3000075170.120</t>
  </si>
  <si>
    <t>201.0405.3000075170.121</t>
  </si>
  <si>
    <t>201.0405.3000075170.122</t>
  </si>
  <si>
    <t>201.0405.3000075170.129</t>
  </si>
  <si>
    <t>201.0405.3000075170.200</t>
  </si>
  <si>
    <t>201.0405.3000075170.240</t>
  </si>
  <si>
    <t>201.0405.3000075170.244</t>
  </si>
  <si>
    <t>201.0408.0000000000.000</t>
  </si>
  <si>
    <t>201.0408.1000000000.000</t>
  </si>
  <si>
    <t>201.0408.1010000000.000</t>
  </si>
  <si>
    <t>201.0408.1010003010.000</t>
  </si>
  <si>
    <t>201.0408.1010003010.800</t>
  </si>
  <si>
    <t>201.0408.1010003010.810</t>
  </si>
  <si>
    <t>201.0408.1010003020.000</t>
  </si>
  <si>
    <t>201.0408.1010003020.800</t>
  </si>
  <si>
    <t>201.0408.1010003020.810</t>
  </si>
  <si>
    <t>201.0408.3000000000.000</t>
  </si>
  <si>
    <t>201.0408.3000006050.000</t>
  </si>
  <si>
    <t>201.0408.3000006050.500</t>
  </si>
  <si>
    <t>201.0408.3000006050.540</t>
  </si>
  <si>
    <t>201.0409.0000000000.000</t>
  </si>
  <si>
    <t>201.0409.1000000000.000</t>
  </si>
  <si>
    <t>201.0409.1020000000.000</t>
  </si>
  <si>
    <t>2829</t>
  </si>
  <si>
    <t>2921</t>
  </si>
  <si>
    <t>2922</t>
  </si>
  <si>
    <t>Субвенции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лицам, ведущим традиционный образ жизни и (или) традиционную хозяйственную деятельность, с учетом почтовых расходов или расходов российских кредитных организаций</t>
  </si>
  <si>
    <t>201.0801.30000R5190.000</t>
  </si>
  <si>
    <t>201.0801.30000R5190.500</t>
  </si>
  <si>
    <t>201.0801.30000R5190.540</t>
  </si>
  <si>
    <t>233.0113.0800001060.240</t>
  </si>
  <si>
    <t>233.0113.0800001060.244</t>
  </si>
  <si>
    <t>233.0113.0800001060.800</t>
  </si>
  <si>
    <t>233.0113.0800001060.850</t>
  </si>
  <si>
    <t>233.0113.0800001060.853</t>
  </si>
  <si>
    <t>201.1101.0400008010.244</t>
  </si>
  <si>
    <t>230.0106.3000001060.853</t>
  </si>
  <si>
    <t>240.1003.1100028240.244</t>
  </si>
  <si>
    <t>274.0701.0200002010.853</t>
  </si>
  <si>
    <t>274.0709.0200001060.853</t>
  </si>
  <si>
    <t>Управление по делам гражданской обороны и чрезвычайным ситуациям Администрации Таймырского Долгано-Ненецкого муниципального района</t>
  </si>
  <si>
    <t>278.0000.0000000000.000</t>
  </si>
  <si>
    <t>278.0300.0000000000.000</t>
  </si>
  <si>
    <t>278.0309.0000000000.000</t>
  </si>
  <si>
    <t>278.0309.0100000000.000</t>
  </si>
  <si>
    <t>278.0309.0100001060.000</t>
  </si>
  <si>
    <t>278.0309.0100001060.100</t>
  </si>
  <si>
    <t>278.0309.0100001060.110</t>
  </si>
  <si>
    <t>278.0309.0100001060.111</t>
  </si>
  <si>
    <t>278.0309.0100001060.112</t>
  </si>
  <si>
    <t>278.0309.0100001060.119</t>
  </si>
  <si>
    <t>278.0309.0100001060.120</t>
  </si>
  <si>
    <t>278.0309.0100001060.121</t>
  </si>
  <si>
    <t>278.0309.0100001060.122</t>
  </si>
  <si>
    <t>278.0309.0100001060.129</t>
  </si>
  <si>
    <t>278.0309.0100001060.200</t>
  </si>
  <si>
    <t>278.0309.0100001060.240</t>
  </si>
  <si>
    <t>278.0309.0100001060.244</t>
  </si>
  <si>
    <t>278.0309.0100001060.800</t>
  </si>
  <si>
    <t>278.0309.0100001060.850</t>
  </si>
  <si>
    <t>278.0309.0100001060.853</t>
  </si>
  <si>
    <t>278.0309.0100001070.000</t>
  </si>
  <si>
    <t>278.0309.0100001070.100</t>
  </si>
  <si>
    <t>278.0309.0100001070.120</t>
  </si>
  <si>
    <t>278.0309.0100001070.121</t>
  </si>
  <si>
    <t>278.0309.0100001070.129</t>
  </si>
  <si>
    <t>278.0309.0100007010.000</t>
  </si>
  <si>
    <t>278.0309.0100007010.100</t>
  </si>
  <si>
    <t>278.0309.0100007010.110</t>
  </si>
  <si>
    <t>278.0309.0100007010.111</t>
  </si>
  <si>
    <t>278.0309.0100007010.112</t>
  </si>
  <si>
    <t>278.0309.0100007010.119</t>
  </si>
  <si>
    <t>278.0309.0100007010.200</t>
  </si>
  <si>
    <t>278.0309.0100007010.240</t>
  </si>
  <si>
    <t>278.0309.0100007010.244</t>
  </si>
  <si>
    <t>278.0309.0100075160.000</t>
  </si>
  <si>
    <t>278.0309.0100075160.100</t>
  </si>
  <si>
    <t>278.0309.0100075160.110</t>
  </si>
  <si>
    <t>278.0309.0100075160.111</t>
  </si>
  <si>
    <t>278.0309.0100075160.112</t>
  </si>
  <si>
    <t>278.0309.0100075160.119</t>
  </si>
  <si>
    <t>278.0309.0100075160.200</t>
  </si>
  <si>
    <t>278.0309.0100075160.240</t>
  </si>
  <si>
    <t>278.0309.0100075160.244</t>
  </si>
  <si>
    <t>Финансовое управление Администрации Таймырского Долгано-Ненецкого муниципального района</t>
  </si>
  <si>
    <t>295.0000.0000000000.000</t>
  </si>
  <si>
    <t>295.0100.0000000000.000</t>
  </si>
  <si>
    <t>295.0106.0000000000.000</t>
  </si>
  <si>
    <t>295.0106.3000000000.000</t>
  </si>
  <si>
    <t>295.0106.3000001060.000</t>
  </si>
  <si>
    <t>295.0106.3000001060.100</t>
  </si>
  <si>
    <t>295.0106.3000001060.120</t>
  </si>
  <si>
    <t>295.0106.3000001060.121</t>
  </si>
  <si>
    <t>295.0106.3000001060.122</t>
  </si>
  <si>
    <t>295.0106.3000001060.129</t>
  </si>
  <si>
    <t>295.0106.3000001060.200</t>
  </si>
  <si>
    <t>295.0106.3000001060.240</t>
  </si>
  <si>
    <t>295.0106.3000001060.244</t>
  </si>
  <si>
    <t>295.0106.3000001070.000</t>
  </si>
  <si>
    <t>295.0106.3000001070.100</t>
  </si>
  <si>
    <t>295.0106.3000001070.120</t>
  </si>
  <si>
    <t>295.0106.3000001070.121</t>
  </si>
  <si>
    <t>295.0106.3000001070.129</t>
  </si>
  <si>
    <t>295.0111.0000000000.000</t>
  </si>
  <si>
    <t>295.0111.3000000000.000</t>
  </si>
  <si>
    <t>295.0111.3000009820.000</t>
  </si>
  <si>
    <t>295.0111.3000009820.800</t>
  </si>
  <si>
    <t>295.0111.3000009820.870</t>
  </si>
  <si>
    <t>295.1400.0000000000.000</t>
  </si>
  <si>
    <t>295.1401.0000000000.000</t>
  </si>
  <si>
    <t>295.1401.3000000000.000</t>
  </si>
  <si>
    <t>295.1401.3000076010.000</t>
  </si>
  <si>
    <t>295.1401.3000076010.500</t>
  </si>
  <si>
    <t>295.1401.3000076010.510</t>
  </si>
  <si>
    <t>295.1401.3000076010.511</t>
  </si>
  <si>
    <t>295.1403.0000000000.000</t>
  </si>
  <si>
    <t>295.1403.3000000000.000</t>
  </si>
  <si>
    <t>295.1403.3000006030.000</t>
  </si>
  <si>
    <t>295.1403.3000006030.500</t>
  </si>
  <si>
    <t>295.1403.3000006030.540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</si>
  <si>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</si>
  <si>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</si>
  <si>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</si>
  <si>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</si>
  <si>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Непрограммные расходы</t>
  </si>
  <si>
    <t>Иные выплаты персоналу государственных (муниципальных) органов, за исключением фонда оплаты труда</t>
  </si>
  <si>
    <t>Денежные взыскания (штрафы) за правонарушения в области дорожного движения</t>
  </si>
  <si>
    <t>30</t>
  </si>
  <si>
    <t>Прочие денежные взыскания (штрафы) за правонарушения в области дорожного движения</t>
  </si>
  <si>
    <t>201.0104.3000001060.853</t>
  </si>
  <si>
    <t>201.0104.3000074290.121</t>
  </si>
  <si>
    <t>201.0104.3000074290.129</t>
  </si>
  <si>
    <t>201.0104.3000074290.244</t>
  </si>
  <si>
    <t>Доходы бюджета - всего</t>
  </si>
  <si>
    <t>010</t>
  </si>
  <si>
    <t>х</t>
  </si>
  <si>
    <t xml:space="preserve">     в том числе:</t>
  </si>
  <si>
    <t>НАЛОГОВЫЕ И НЕНАЛОГОВЫЕ ДОХОДЫ</t>
  </si>
  <si>
    <t>НАЛОГИ НА ПРИБЫЛЬ, ДОХОДЫ</t>
  </si>
  <si>
    <t>Налог на прибыль организаций</t>
  </si>
  <si>
    <t>Субсидии гражданам на приобретение жилья</t>
  </si>
  <si>
    <t>Другие вопросы в области охраны окружающей среды</t>
  </si>
  <si>
    <t>Расходы на обеспечение деятельности муниципального учреждения, осуществляющего транспортное обслуживание органов местного самоуправления и учреждений муниципального района</t>
  </si>
  <si>
    <t>201.0409.1020009220.000</t>
  </si>
  <si>
    <t>201.0409.1020009220.200</t>
  </si>
  <si>
    <t>201.0409.1020009220.240</t>
  </si>
  <si>
    <t>201.0409.1020009220.244</t>
  </si>
  <si>
    <t>201.1202.3000003050.810</t>
  </si>
  <si>
    <t>Избирательная комиссия Таймырского Долгано-Ненецкого муниципального района</t>
  </si>
  <si>
    <t>208.0000.0000000000.000</t>
  </si>
  <si>
    <t>208.0100.0000000000.000</t>
  </si>
  <si>
    <t>208.0107.0000000000.000</t>
  </si>
  <si>
    <t>208.0107.3000000000.000</t>
  </si>
  <si>
    <t>208.0107.3000001030.000</t>
  </si>
  <si>
    <t>208.0107.3000001030.100</t>
  </si>
  <si>
    <t>208.0107.3000001030.120</t>
  </si>
  <si>
    <t>208.0107.3000001030.121</t>
  </si>
  <si>
    <t>208.0107.3000001030.122</t>
  </si>
  <si>
    <t>208.0107.3000001030.129</t>
  </si>
  <si>
    <t>208.0107.3000001070.000</t>
  </si>
  <si>
    <t>208.0107.3000001070.100</t>
  </si>
  <si>
    <t>208.0107.3000001070.120</t>
  </si>
  <si>
    <t>208.0107.3000001070.121</t>
  </si>
  <si>
    <t>208.0107.3000001070.129</t>
  </si>
  <si>
    <t>201.0102.0000000000.000</t>
  </si>
  <si>
    <t>201.0102.3000000000.000</t>
  </si>
  <si>
    <t>201.0102.3000001010.000</t>
  </si>
  <si>
    <t>201.0102.3000001010.100</t>
  </si>
  <si>
    <t>201.0102.3000001010.120</t>
  </si>
  <si>
    <t>201.0102.3000001010.121</t>
  </si>
  <si>
    <t>201.0102.3000001010.129</t>
  </si>
  <si>
    <t>201.0113.3000002130.853</t>
  </si>
  <si>
    <t>231.0103.3000001060.200</t>
  </si>
  <si>
    <t>231.0103.3000001060.240</t>
  </si>
  <si>
    <t>231.0103.3000001060.244</t>
  </si>
  <si>
    <t>Управление образования Администрации Таймырского Долгано-Ненецкого муниципального района</t>
  </si>
  <si>
    <t>274.0000.0000000000.000</t>
  </si>
  <si>
    <t>274.0700.0000000000.000</t>
  </si>
  <si>
    <t>274.0701.0000000000.000</t>
  </si>
  <si>
    <t>274.0701.0200000000.000</t>
  </si>
  <si>
    <t>274.0701.0200002010.000</t>
  </si>
  <si>
    <t>274.0701.0200002010.100</t>
  </si>
  <si>
    <t>274.0701.0200002010.110</t>
  </si>
  <si>
    <t>274.0701.0200002010.111</t>
  </si>
  <si>
    <t>274.0701.0200002010.112</t>
  </si>
  <si>
    <t>274.0701.0200002010.119</t>
  </si>
  <si>
    <t>274.0701.0200002010.200</t>
  </si>
  <si>
    <t>274.0701.0200002010.240</t>
  </si>
  <si>
    <t>274.0701.0200002010.244</t>
  </si>
  <si>
    <t>274.0701.0200002010.800</t>
  </si>
  <si>
    <t>274.0701.0200002010.850</t>
  </si>
  <si>
    <t>274.0701.0200002010.852</t>
  </si>
  <si>
    <t>274.0701.0200002120.000</t>
  </si>
  <si>
    <t>274.0701.0200002120.600</t>
  </si>
  <si>
    <t>274.0701.0200002120.610</t>
  </si>
  <si>
    <t>274.0701.0200002120.611</t>
  </si>
  <si>
    <t>2100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</si>
  <si>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</si>
  <si>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</si>
  <si>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оказания платных услуг (работ)</t>
  </si>
  <si>
    <t>Доходы от реализации иного имущества, находящегося в собственности, в части реализации объектов недвижимого имущества</t>
  </si>
  <si>
    <t>Субсидии бюджетам бюджетной системы Российской Федерации (межбюджетные субсидии)</t>
  </si>
  <si>
    <t>Субвенции местным бюджетам на выполнение передаваемых полномочий субъектов Российской Федерации</t>
  </si>
  <si>
    <t>источники внешнего финансирования бюджета</t>
  </si>
  <si>
    <t>620</t>
  </si>
  <si>
    <t>(расшифровка подписи)</t>
  </si>
  <si>
    <t>79870783</t>
  </si>
  <si>
    <r>
      <t xml:space="preserve">Наименование финансового органа: </t>
    </r>
    <r>
      <rPr>
        <b/>
        <sz val="8"/>
        <rFont val="Arial"/>
        <family val="2"/>
      </rPr>
      <t xml:space="preserve">Финансовое управление администрации Таймырского Долгано-Ненецкого муниципального района   </t>
    </r>
  </si>
  <si>
    <t xml:space="preserve">Глава по БК </t>
  </si>
  <si>
    <t>295</t>
  </si>
  <si>
    <r>
      <t xml:space="preserve">Наименование публично-правового образования: </t>
    </r>
    <r>
      <rPr>
        <b/>
        <sz val="8"/>
        <rFont val="Arial"/>
        <family val="2"/>
      </rPr>
      <t xml:space="preserve">бюджет Таймырского Долгано-Ненецкого муниципального района  </t>
    </r>
    <r>
      <rPr>
        <sz val="8"/>
        <rFont val="Arial"/>
        <family val="2"/>
      </rPr>
      <t xml:space="preserve">   </t>
    </r>
  </si>
  <si>
    <t>Периодичность:  месячная</t>
  </si>
  <si>
    <t>НАЦИОНАЛЬНАЯ БЕЗОПАСНОСТЬ И ПРАВООХРАНИТЕЛЬНАЯ ДЕЯТЕЛЬНОСТЬ</t>
  </si>
  <si>
    <t>ЖИЛИЩНО-КОММУНАЛЬНОЕ ХОЗЯЙСТВО</t>
  </si>
  <si>
    <t>Доходы от сдачи в аренду имущества, составляющего государственную (муниципальную) казну (за исключением земельных участков)</t>
  </si>
  <si>
    <t>070</t>
  </si>
  <si>
    <t>Доходы от сдачи в аренду имущества, составляющего казну муниципальных районов (за исключением земельных участков)</t>
  </si>
  <si>
    <t>075</t>
  </si>
  <si>
    <t>240.0412.3000003060.800</t>
  </si>
  <si>
    <t>240.0412.3000003060.810</t>
  </si>
  <si>
    <t>240.1000.0000000000.000</t>
  </si>
  <si>
    <t>240.1003.0000000000.000</t>
  </si>
  <si>
    <t>240.1003.0800000000.000</t>
  </si>
  <si>
    <t>240.1003.0820000000.000</t>
  </si>
  <si>
    <t>240.1003.0820005250.000</t>
  </si>
  <si>
    <t>240.1003.0820005250.200</t>
  </si>
  <si>
    <t>240.1003.0820005250.240</t>
  </si>
  <si>
    <t>240.1003.1100000000.000</t>
  </si>
  <si>
    <t>240.1003.1100028240.000</t>
  </si>
  <si>
    <t>240.1003.1100028240.200</t>
  </si>
  <si>
    <t>240.1003.1100028240.240</t>
  </si>
  <si>
    <t>Управление социальной защиты населения  Администрации Таймырского Долгано-Ненецкого муниципального района</t>
  </si>
  <si>
    <t>256.0000.0000000000.000</t>
  </si>
  <si>
    <t>256.1000.0000000000.000</t>
  </si>
  <si>
    <t>256.1001.0000000000.000</t>
  </si>
  <si>
    <t>256.1001.3000000000.000</t>
  </si>
  <si>
    <t>256.1001.3000008310.000</t>
  </si>
  <si>
    <t>256.1001.3000008310.300</t>
  </si>
  <si>
    <t>256.1001.3000008310.310</t>
  </si>
  <si>
    <t>256.1001.3000008310.312</t>
  </si>
  <si>
    <t>256.1002.0000000000.000</t>
  </si>
  <si>
    <t>256.1002.3000000000.000</t>
  </si>
  <si>
    <t>256.1002.3000001510.000</t>
  </si>
  <si>
    <t>256.1006.3000075130.129</t>
  </si>
  <si>
    <t>256.1006.3000075130.200</t>
  </si>
  <si>
    <t>256.1006.3000075130.240</t>
  </si>
  <si>
    <t>256.1006.3000075130.244</t>
  </si>
  <si>
    <t>Управление имущественных отношений Таймырского Долгано-Ненецкого муниципального района</t>
  </si>
  <si>
    <t>267.0000.0000000000.000</t>
  </si>
  <si>
    <t>267.0100.0000000000.000</t>
  </si>
  <si>
    <t>267.0113.0000000000.000</t>
  </si>
  <si>
    <t>267.0113.3000000000.000</t>
  </si>
  <si>
    <t>267.0113.3000001060.000</t>
  </si>
  <si>
    <t>267.0113.3000001060.100</t>
  </si>
  <si>
    <t>267.0113.3000001060.120</t>
  </si>
  <si>
    <t>267.0113.3000001060.121</t>
  </si>
  <si>
    <t>267.0113.3000001060.122</t>
  </si>
  <si>
    <t>267.0113.3000001060.129</t>
  </si>
  <si>
    <t>267.0113.3000001060.200</t>
  </si>
  <si>
    <t>267.0113.3000001060.240</t>
  </si>
  <si>
    <t>267.0113.3000001060.244</t>
  </si>
  <si>
    <t>267.0113.3000001060.800</t>
  </si>
  <si>
    <t>267.0113.3000001060.850</t>
  </si>
  <si>
    <t>267.0113.3000001070.000</t>
  </si>
  <si>
    <t>267.0113.3000001070.100</t>
  </si>
  <si>
    <t>267.0113.3000001070.120</t>
  </si>
  <si>
    <t>267.0113.3000001070.121</t>
  </si>
  <si>
    <t>267.0113.3000001070.129</t>
  </si>
  <si>
    <t>267.0113.3000009510.000</t>
  </si>
  <si>
    <t>267.0113.3000009510.200</t>
  </si>
  <si>
    <t>267.0113.3000009510.240</t>
  </si>
  <si>
    <t>267.0113.3000009510.244</t>
  </si>
  <si>
    <t>201.1100.0000000000.000</t>
  </si>
  <si>
    <t>201.1101.0000000000.000</t>
  </si>
  <si>
    <t>201.1101.0400000000.000</t>
  </si>
  <si>
    <t>201.1101.0400002110.000</t>
  </si>
  <si>
    <t>201.1101.0400002110.600</t>
  </si>
  <si>
    <t>201.1101.0400002110.620</t>
  </si>
  <si>
    <t>201.1101.0400002110.621</t>
  </si>
  <si>
    <t>201.1101.0400008010.000</t>
  </si>
  <si>
    <t>201.1101.0400008010.200</t>
  </si>
  <si>
    <t>201.1101.0400008010.240</t>
  </si>
  <si>
    <t>201.1200.0000000000.000</t>
  </si>
  <si>
    <t>201.1202.0000000000.000</t>
  </si>
  <si>
    <t>201.1202.3000000000.000</t>
  </si>
  <si>
    <t>201.1202.3000003050.000</t>
  </si>
  <si>
    <t>201.1202.3000003050.800</t>
  </si>
  <si>
    <t>Государственная пошлина по делам, рассматриваемым в судах общей юрисдикции, мировыми судьями</t>
  </si>
  <si>
    <t>Субвенции на реализацию государственных полномочий по расчету и предоставлению дотаций поселениям, входящим в состав муниципального района края</t>
  </si>
  <si>
    <t>7601</t>
  </si>
  <si>
    <t>Субвенции на осуществление государственных полномочий по созданию и обеспечению деятельности комиссий по делам несовершеннолетних и защите их прав</t>
  </si>
  <si>
    <t>7604</t>
  </si>
  <si>
    <t>Закупка товаров, работ и услуг для обеспечения государственных (муниципальных) нужд</t>
  </si>
  <si>
    <t>Фонд оплаты труда учреждений</t>
  </si>
  <si>
    <t>Иные выплаты персоналу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</si>
  <si>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</si>
  <si>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 xml:space="preserve">Муниципальная программа Таймырского Долгано-Ненецкого муниципального района «Культура Таймыра» </t>
  </si>
  <si>
    <t>Расходы на осуществление первичного воинского учета на территориях, где отсутствуют военные комиссариаты</t>
  </si>
  <si>
    <t>Результат исполнения бюджета (дефицит / профицит)</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</si>
  <si>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</si>
  <si>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</si>
  <si>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</si>
  <si>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</si>
  <si>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</si>
  <si>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Налог, взимаемый в связи с применением патентной системы налогообложения, зачисляемый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</si>
  <si>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</si>
  <si>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16</t>
  </si>
  <si>
    <t>140</t>
  </si>
  <si>
    <t>Обеспечение деятельности финансовых, налоговых и таможенных органов и органов финансового (финансово-бюджетного) надзора</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</si>
  <si>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</si>
  <si>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</si>
  <si>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</si>
  <si>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ОТЧЕТ ОБ ИСПОЛНЕНИИ БЮДЖЕТА</t>
  </si>
  <si>
    <t>КОДЫ</t>
  </si>
  <si>
    <t>Форма по ОКУД</t>
  </si>
  <si>
    <t>0503117</t>
  </si>
  <si>
    <t>Дата</t>
  </si>
  <si>
    <t>по ОКПО</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</si>
  <si>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</si>
  <si>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</si>
  <si>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</si>
  <si>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</si>
  <si>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</si>
  <si>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</si>
  <si>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</si>
  <si>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</si>
  <si>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600</t>
  </si>
  <si>
    <t>640</t>
  </si>
  <si>
    <t>510</t>
  </si>
  <si>
    <t>720</t>
  </si>
  <si>
    <t>610</t>
  </si>
  <si>
    <t>(подпись)</t>
  </si>
  <si>
    <t>Расходы на обеспечение деятельности автономных учреждений муниципального района</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</si>
  <si>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</si>
  <si>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256.1006.3000075130.122</t>
  </si>
  <si>
    <t>267.0113.3000001060.853</t>
  </si>
  <si>
    <t>118</t>
  </si>
  <si>
    <t>930</t>
  </si>
  <si>
    <t>201.0408.3000001060.000</t>
  </si>
  <si>
    <t>201.0408.3000001060.100</t>
  </si>
  <si>
    <t>201.0408.3000001060.120</t>
  </si>
  <si>
    <t>201.0408.3000001060.121</t>
  </si>
  <si>
    <t>201.0408.3000001060.122</t>
  </si>
  <si>
    <t>201.0408.3000001060.129</t>
  </si>
  <si>
    <t>201.0408.3000001070.000</t>
  </si>
  <si>
    <t>201.0408.3000001070.100</t>
  </si>
  <si>
    <t>201.0408.3000001070.120</t>
  </si>
  <si>
    <t>201.0408.3000001070.121</t>
  </si>
  <si>
    <t>201.0408.3000001070.129</t>
  </si>
  <si>
    <t>201.0412.1100029220.000</t>
  </si>
  <si>
    <t>201.0412.1100029220.200</t>
  </si>
  <si>
    <t>201.0412.1100029220.240</t>
  </si>
  <si>
    <t>201.0412.1100029220.244</t>
  </si>
  <si>
    <t>Дополнительное образование детей</t>
  </si>
  <si>
    <t>201.0703.0000000000.000</t>
  </si>
  <si>
    <t>201.0703.0300000000.000</t>
  </si>
  <si>
    <t>201.0703.0300006010.000</t>
  </si>
  <si>
    <t>201.0703.0300006010.500</t>
  </si>
  <si>
    <t>201.0703.0300006010.540</t>
  </si>
  <si>
    <t>Молодежная политика</t>
  </si>
  <si>
    <t>201.0707.0500008120.000</t>
  </si>
  <si>
    <t>Расходы на поддержку отрасли культуры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</si>
  <si>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</si>
  <si>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</si>
  <si>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</si>
  <si>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</si>
  <si>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</si>
  <si>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</si>
  <si>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Форма 0503117 с.2</t>
  </si>
  <si>
    <t>2. Расходы бюджета</t>
  </si>
  <si>
    <t>Код расхода по бюджетной классификации</t>
  </si>
  <si>
    <t>Расходы бюджета - всего</t>
  </si>
  <si>
    <t>Защита населения и территории от чрезвычайных ситуаций природного и техногенного характера, гражданская оборона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</si>
  <si>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</si>
  <si>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4000</t>
  </si>
  <si>
    <t>020</t>
  </si>
  <si>
    <t>Мероприятия в области гражданской обороны, предупреждения чрезвычайных ситуаций и ликвидации их последствий на территории муниципального района</t>
  </si>
  <si>
    <t>Расходы на выполнение отдельных государственных полномочий в области защиты территорий и населения от чрезвычайных ситуаций</t>
  </si>
  <si>
    <t>Резервные средства</t>
  </si>
  <si>
    <t>240.0113.3000001070.129</t>
  </si>
  <si>
    <t>Предоставление субсидий субъектам малого и среднего предпринимательства на возмещение части затрат, связанных с приобретением оборудования в целях создания и (или) развития, и (или) модернизации производства товаров</t>
  </si>
  <si>
    <t>240.1003.1100029210.000</t>
  </si>
  <si>
    <t>240.1003.1100029210.200</t>
  </si>
  <si>
    <t>240.1003.1100029210.240</t>
  </si>
  <si>
    <t>240.1003.1100029210.244</t>
  </si>
  <si>
    <t>256.1002.3000001510.611</t>
  </si>
  <si>
    <t>256.1003.1100028290.000</t>
  </si>
  <si>
    <t>256.1003.1100028290.200</t>
  </si>
  <si>
    <t>256.1003.1100028290.240</t>
  </si>
  <si>
    <t>256.1003.1100028290.244</t>
  </si>
  <si>
    <t>256.1003.1100028290.300</t>
  </si>
  <si>
    <t>256.1003.1100028290.320</t>
  </si>
  <si>
    <t>256.1003.1100028290.321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</si>
  <si>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</si>
  <si>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</si>
  <si>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3. Источники финансирования дефицита бюджета</t>
  </si>
  <si>
    <t>увеличение остатков средств бюджетов</t>
  </si>
  <si>
    <t>увеличение прочих остатков средств бюджетов</t>
  </si>
  <si>
    <t>19</t>
  </si>
  <si>
    <t>7429</t>
  </si>
  <si>
    <t xml:space="preserve">Управление Записи актов гражданского состояния Администрации Таймырского Долгано-Ненецкого  муниципального района </t>
  </si>
  <si>
    <t>220.0000.0000000000.000</t>
  </si>
  <si>
    <t>220.0100.0000000000.000</t>
  </si>
  <si>
    <t>220.0113.0000000000.000</t>
  </si>
  <si>
    <t>220.0113.3000000000.000</t>
  </si>
  <si>
    <t>220.0113.3000059310.000</t>
  </si>
  <si>
    <t>220.0113.3000059310.100</t>
  </si>
  <si>
    <t>220.0113.3000059310.120</t>
  </si>
  <si>
    <t>220.0113.3000059310.121</t>
  </si>
  <si>
    <t>220.0113.3000059310.122</t>
  </si>
  <si>
    <t>220.0113.3000059310.129</t>
  </si>
  <si>
    <t>220.0113.3000059310.200</t>
  </si>
  <si>
    <t>220.0113.3000059310.240</t>
  </si>
  <si>
    <t>220.0113.3000059310.244</t>
  </si>
  <si>
    <t>220.0113.3000059310.500</t>
  </si>
  <si>
    <t>220.0113.3000059310.540</t>
  </si>
  <si>
    <t>Контрольно-Счетная палата Таймырского Долгано-Ненецкого муниципального района</t>
  </si>
  <si>
    <t>230.0000.0000000000.000</t>
  </si>
  <si>
    <t>230.0100.0000000000.000</t>
  </si>
  <si>
    <t>230.0106.0000000000.000</t>
  </si>
  <si>
    <t>230.0106.3000000000.000</t>
  </si>
  <si>
    <t>230.0106.3000001060.000</t>
  </si>
  <si>
    <t>230.0106.3000001060.100</t>
  </si>
  <si>
    <t>230.0106.3000001060.120</t>
  </si>
  <si>
    <t>230.0106.3000001060.121</t>
  </si>
  <si>
    <t>230.0106.3000001060.122</t>
  </si>
  <si>
    <t>230.0106.3000001060.129</t>
  </si>
  <si>
    <t>230.0106.3000001060.800</t>
  </si>
  <si>
    <t>230.0106.3000001060.850</t>
  </si>
  <si>
    <t>230.0106.3000001070.000</t>
  </si>
  <si>
    <t>230.0106.3000001070.100</t>
  </si>
  <si>
    <t>230.0106.3000001070.120</t>
  </si>
  <si>
    <t>230.0106.3000001070.121</t>
  </si>
  <si>
    <t>230.0106.3000001070.129</t>
  </si>
  <si>
    <t>Таймырский Долгано-Ненецкий районный Совет депутатов</t>
  </si>
  <si>
    <t>231.0000.0000000000.000</t>
  </si>
  <si>
    <t>231.0100.0000000000.000</t>
  </si>
  <si>
    <t>231.0103.0000000000.000</t>
  </si>
  <si>
    <t>231.0103.3000000000.000</t>
  </si>
  <si>
    <t>231.0103.3000001020.000</t>
  </si>
  <si>
    <t>231.0103.3000001020.100</t>
  </si>
  <si>
    <t>231.0103.3000001020.120</t>
  </si>
  <si>
    <t>231.0103.3000001020.121</t>
  </si>
  <si>
    <t>231.0103.3000001020.129</t>
  </si>
  <si>
    <t>231.0103.3000001060.000</t>
  </si>
  <si>
    <t>231.0103.3000001060.100</t>
  </si>
  <si>
    <t>231.0103.3000001060.120</t>
  </si>
  <si>
    <t>231.0103.3000001060.121</t>
  </si>
  <si>
    <t>231.0103.3000001060.122</t>
  </si>
  <si>
    <t>231.0103.3000001060.129</t>
  </si>
  <si>
    <t>231.0103.3000001070.000</t>
  </si>
  <si>
    <t>231.0103.3000001070.100</t>
  </si>
  <si>
    <t>231.0103.3000001070.120</t>
  </si>
  <si>
    <t>231.0103.3000001070.121</t>
  </si>
  <si>
    <t>231.0103.3000001070.129</t>
  </si>
  <si>
    <t>Управление развития инфраструктуры Таймырского Долгано-Ненецкого муниципального района</t>
  </si>
  <si>
    <t>233.0000.0000000000.000</t>
  </si>
  <si>
    <t>233.0100.0000000000.000</t>
  </si>
  <si>
    <t>233.0113.0000000000.000</t>
  </si>
  <si>
    <t>233.0113.0800000000.000</t>
  </si>
  <si>
    <t>233.0113.0800001060.000</t>
  </si>
  <si>
    <t>233.0113.0800001060.100</t>
  </si>
  <si>
    <t>233.0113.0800001060.120</t>
  </si>
  <si>
    <t>233.0113.0800001060.121</t>
  </si>
  <si>
    <t>233.0113.0800001060.122</t>
  </si>
  <si>
    <t>233.0113.0800001060.129</t>
  </si>
  <si>
    <t>233.0113.0800001060.200</t>
  </si>
  <si>
    <t>7563</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</si>
  <si>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</si>
  <si>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Культура</t>
  </si>
  <si>
    <t>Расходы на осуществление государственных полномочий по созданию и обеспечению деятельности комиссий по делам несовершеннолетних и защите их прав</t>
  </si>
  <si>
    <t>Мероприятия в сфере культуры</t>
  </si>
  <si>
    <t>Пенсионное обеспечение</t>
  </si>
  <si>
    <t>Доходы бюджетов муниципальных районов от возврата организациями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</si>
  <si>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</si>
  <si>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Налог, взимаемый в связи с применением патентной системы налогообложения</t>
  </si>
  <si>
    <t>250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</si>
  <si>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</si>
  <si>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</si>
  <si>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</si>
  <si>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</si>
  <si>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Охрана семьи и детства</t>
  </si>
  <si>
    <t>Социальное обеспечение населения</t>
  </si>
  <si>
    <t>Коммунальное хозяйство</t>
  </si>
  <si>
    <t>Субвенции на выполнение государственных полномочий по созданию и обеспечению деятельности административных комиссий</t>
  </si>
  <si>
    <t>Другие вопросы в области национальной экономики</t>
  </si>
  <si>
    <t>260</t>
  </si>
  <si>
    <t>7456</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</si>
  <si>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</si>
  <si>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</si>
  <si>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03</t>
  </si>
  <si>
    <t>08</t>
  </si>
  <si>
    <t>Плата за размещение отходов производства и потребления</t>
  </si>
  <si>
    <t>ДОХОДЫ ОТ ОКАЗАНИЯ ПЛАТНЫХ УСЛУГ (РАБОТ) И КОМПЕНСАЦИИ ЗАТРАТ ГОСУДАРСТВА</t>
  </si>
  <si>
    <t>Прочие доходы от оказания платных услуг (работ)</t>
  </si>
  <si>
    <t>Дорожное хозяйство (дорожные фонды)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</si>
  <si>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</si>
  <si>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</si>
  <si>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</si>
  <si>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Расходы на обеспечение деятельности учебно-методических кабинетов, централизованных бухгалтерий, групп хозяйственного обслуживания</t>
  </si>
  <si>
    <t>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</si>
  <si>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Расходы на организацию деятельности органов местного самоуправления, обеспечивающих решение вопросов обеспечения гарантий прав коренных малочисленных народов Севера</t>
  </si>
  <si>
    <t>Расходы на организацию выпуска приложения к газете «Таймыр», программ радиовещания и телевидения на языках коренных малочисленных народов Севера</t>
  </si>
  <si>
    <t>Субвенции на осуществление государственных полномочий по организации деятельности органов управления системой социальной защиты населения</t>
  </si>
  <si>
    <t>7513</t>
  </si>
  <si>
    <t>7514</t>
  </si>
  <si>
    <t>Субвенции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</si>
  <si>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7515</t>
  </si>
  <si>
    <t>Субвенции на выполнение отдельных государственных полномочий в области защиты территорий и населения от чрезвычайных ситуаций</t>
  </si>
  <si>
    <t>7516</t>
  </si>
  <si>
    <t>Субвенции на выполнение отдельных государственных полномочий по решению вопросов поддержки сельскохозяйственного производства</t>
  </si>
  <si>
    <t>7517</t>
  </si>
  <si>
    <t>МЕЖБЮДЖЕТНЫЕ ТРАНСФЕРТЫ ОБЩЕГО ХАРАКТЕРА БЮДЖЕТАМ БЮДЖЕТНОЙ СИСТЕМЫ РОССИЙСКОЙ ФЕДЕРАЦИИ</t>
  </si>
  <si>
    <t>Уплата прочих налогов, сборов</t>
  </si>
  <si>
    <t>Иные выплаты населению</t>
  </si>
  <si>
    <t>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</si>
  <si>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</si>
  <si>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0151</t>
  </si>
  <si>
    <t>Закупка товаров, работ, услуг в целях капитального ремонта государственного (муниципального) имущества</t>
  </si>
  <si>
    <t>Члены избирательной комиссии муниципального образования</t>
  </si>
  <si>
    <t>030</t>
  </si>
  <si>
    <t>Периодическая печать и издательства</t>
  </si>
  <si>
    <t>Обеспечение проведения выборов и референдумов</t>
  </si>
  <si>
    <t>из них:</t>
  </si>
  <si>
    <t>700</t>
  </si>
  <si>
    <t>Расходы на обеспечение деятельности дошкольных учреждений муниципального района</t>
  </si>
  <si>
    <t>Расходы на обеспечение деятельности школ-детских садов, школ начальных, неполных средних и средних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</si>
  <si>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</si>
  <si>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Расходы на поддержку деятельности муниципальных молодежных центров</t>
  </si>
  <si>
    <t>Расходы на осуществление государственных полномочий по организации деятельности органов управления системой социальной защиты населения</t>
  </si>
  <si>
    <t>Мероприятия в области землеустройства, землепользования и управления муниципальной собственностью</t>
  </si>
  <si>
    <t>Расходы на обеспечение деятельности бюджетных учреждений муниципального района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</si>
  <si>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</si>
  <si>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</si>
  <si>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</si>
  <si>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</si>
  <si>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</si>
  <si>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ОХРАНА ОКРУЖАЮЩЕЙ СРЕДЫ</t>
  </si>
  <si>
    <t>Возврат бюджетных кредитов, предоставленных внутри страны в валюте Российской Федерации</t>
  </si>
  <si>
    <t>Предоставление, доставка и пересылка ежемесячной денежной выплаты гражданам, удостоенным почетного звания Таймырского Долгано-Ненецкого муниципального района «Почетный гражданин Таймыра»</t>
  </si>
  <si>
    <t>0516</t>
  </si>
  <si>
    <t>Расходы на обеспечение деятельности муниципальных учреждений дополнительного образования детей</t>
  </si>
  <si>
    <t>Мероприятия, направленные на создание условий для выявления, сопровождения и поддержки одаренных детей, проживающих на территории муниципального района</t>
  </si>
  <si>
    <t>Участие одаренных детей в мероприятиях регионального и федерального уровней</t>
  </si>
  <si>
    <t>Мероприятия в области оздоровления и отдыха детей</t>
  </si>
  <si>
    <t>2826</t>
  </si>
  <si>
    <t>2827</t>
  </si>
  <si>
    <t>Субвенции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</si>
  <si>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7467</t>
  </si>
  <si>
    <t>НАЦИОНАЛЬНАЯ ОБОРОНА</t>
  </si>
  <si>
    <t>НАЦИОНАЛЬНАЯ ЭКОНОМИКА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</si>
  <si>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</si>
  <si>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</si>
  <si>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040</t>
  </si>
  <si>
    <t>05</t>
  </si>
  <si>
    <t>0400</t>
  </si>
  <si>
    <t>Прочие поступления от денежных взысканий (штрафов) и иных сумм в возмещение ущерба за нарушение поставщиками (подрядчиками, исполнителями) условий муниципальных контрактов или иных договоров, финансируемых за счет средств дорожного фонда, или в связи с уклонением от заключения такого контракта или иных договоров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</si>
  <si>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</si>
  <si>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274.0702.0200002030.243</t>
  </si>
  <si>
    <t>274.0709.0200002050.853</t>
  </si>
  <si>
    <t>267.0113.3000009840.410</t>
  </si>
  <si>
    <t>267.0113.3000009840.412</t>
  </si>
  <si>
    <t>Расходы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</si>
  <si>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274.0702.02000S3980.244</t>
  </si>
  <si>
    <t>274.0702.02000S3980.240</t>
  </si>
  <si>
    <t>274.0702.02000S3980.200</t>
  </si>
  <si>
    <t>274.0702.02000S3980.000</t>
  </si>
  <si>
    <t>256.1003.3000008340.313</t>
  </si>
  <si>
    <t>256.1003.3000008340.310</t>
  </si>
  <si>
    <t>256.1003.3000008340.300</t>
  </si>
  <si>
    <t>256.1003.3000008340.244</t>
  </si>
  <si>
    <t>256.1003.3000008340.240</t>
  </si>
  <si>
    <t>256.1003.3000008340.200</t>
  </si>
  <si>
    <t>256.1003.3000008340.000</t>
  </si>
  <si>
    <t>Расходы на дополнительные меры социальной поддержки гражданам Таймырского Долгано-Ненецкого муниципального района  на возмещение части затрат на оплату электрической энергии, израсходованной  на коммунально-бытовые нужды для освещения и отопления гаражей.</t>
  </si>
  <si>
    <t>233.0703.0810002040.414</t>
  </si>
  <si>
    <t>233.0703.0810002040.410</t>
  </si>
  <si>
    <t>233.0703.0810002040.400</t>
  </si>
  <si>
    <t>233.0703.0810002040.000</t>
  </si>
  <si>
    <t>233.0703.0810000000.000</t>
  </si>
  <si>
    <t>Субвенции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</si>
  <si>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7577</t>
  </si>
  <si>
    <t>7588</t>
  </si>
  <si>
    <t>2711</t>
  </si>
  <si>
    <t>045</t>
  </si>
  <si>
    <t>Прочие поступления от использования недвижимого имущества</t>
  </si>
  <si>
    <t>12</t>
  </si>
  <si>
    <t>048</t>
  </si>
  <si>
    <t>6000</t>
  </si>
  <si>
    <t>13</t>
  </si>
  <si>
    <t>130</t>
  </si>
  <si>
    <t>990</t>
  </si>
  <si>
    <t>995</t>
  </si>
  <si>
    <t>274</t>
  </si>
  <si>
    <t xml:space="preserve">Прочие доходы по целевым средствам, поступающие в виде дебиторской задолженности прошлых лет </t>
  </si>
  <si>
    <t>220</t>
  </si>
  <si>
    <t>256</t>
  </si>
  <si>
    <t>278</t>
  </si>
  <si>
    <t>КУЛЬТУРА, КИНЕМАТОГРАФИЯ</t>
  </si>
  <si>
    <t>Иные источники внутреннего финансирования дефицитов бюджетов</t>
  </si>
  <si>
    <t>013</t>
  </si>
  <si>
    <t>10</t>
  </si>
  <si>
    <t>0100</t>
  </si>
  <si>
    <t>0200</t>
  </si>
  <si>
    <t>035</t>
  </si>
  <si>
    <t>Доходы от сдачи в аренду имущества, находящегося в оперативном управлении образовательных учреждений</t>
  </si>
  <si>
    <t>Доходы от сдачи в аренду имущества, находящегося в оперативном управлении прочих учреждений</t>
  </si>
  <si>
    <t>015</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</si>
  <si>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</si>
  <si>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</si>
  <si>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финансового планирования и бюджетного анализа</t>
  </si>
  <si>
    <t>999</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</si>
  <si>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</si>
  <si>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</si>
  <si>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</si>
  <si>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</si>
  <si>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</si>
  <si>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</si>
  <si>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7522</t>
  </si>
  <si>
    <t>7523</t>
  </si>
  <si>
    <t>7526</t>
  </si>
  <si>
    <t>7527</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</si>
  <si>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</si>
  <si>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Невыясненные поступления</t>
  </si>
  <si>
    <t>701</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</si>
  <si>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</si>
  <si>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</si>
  <si>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</si>
  <si>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</si>
  <si>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</si>
  <si>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ПРОЧИЕ НЕНАЛОГОВЫЕ ДОХОДЫ</t>
  </si>
  <si>
    <t>Невыясненные поступления, зачисляемые в бюджеты муниципальных районов</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</si>
  <si>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</si>
  <si>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</si>
  <si>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муниципальных районов на выравнивание бюджетной обеспеченности</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</si>
  <si>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</si>
  <si>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Расходы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t>
  </si>
  <si>
    <t>201.0804.3000001060.100</t>
  </si>
  <si>
    <t>201.0804.3000001060.120</t>
  </si>
  <si>
    <t>201.0804.3000001060.121</t>
  </si>
  <si>
    <t>201.0804.3000001060.122</t>
  </si>
  <si>
    <t>201.0804.3000001060.129</t>
  </si>
  <si>
    <t>201.0804.3000001060.200</t>
  </si>
  <si>
    <t>201.0804.3000001060.240</t>
  </si>
  <si>
    <t>201.0804.3000001060.244</t>
  </si>
  <si>
    <t>201.0804.3000001070.000</t>
  </si>
  <si>
    <t>201.0804.3000001070.100</t>
  </si>
  <si>
    <t>201.0804.3000001070.120</t>
  </si>
  <si>
    <t>201.0804.3000001070.121</t>
  </si>
  <si>
    <t>201.0804.3000001070.129</t>
  </si>
  <si>
    <t>201.1000.0000000000.000</t>
  </si>
  <si>
    <t>201.1003.0000000000.000</t>
  </si>
  <si>
    <t>201.1003.0900000000.000</t>
  </si>
  <si>
    <t>201.1003.0900006160.000</t>
  </si>
  <si>
    <t>201.0113.3000002130.100</t>
  </si>
  <si>
    <t>201.0113.3000002130.110</t>
  </si>
  <si>
    <t>201.0113.3000002130.111</t>
  </si>
  <si>
    <t>201.0113.3000002130.112</t>
  </si>
  <si>
    <t>201.0113.3000002130.119</t>
  </si>
  <si>
    <t>201.0113.3000002130.200</t>
  </si>
  <si>
    <t>201.0113.3000002130.240</t>
  </si>
  <si>
    <t>201.0113.3000002130.244</t>
  </si>
  <si>
    <t>201.0113.3000002130.800</t>
  </si>
  <si>
    <t>201.0113.3000002130.850</t>
  </si>
  <si>
    <t>201.0113.3000075140.000</t>
  </si>
  <si>
    <t>201.0113.3000075140.500</t>
  </si>
  <si>
    <t>201.0113.3000075140.540</t>
  </si>
  <si>
    <t>201.0200.0000000000.000</t>
  </si>
  <si>
    <t>201.0203.0000000000.000</t>
  </si>
  <si>
    <t>201.0412.1100028220.000</t>
  </si>
  <si>
    <t>201.0412.1100028220.800</t>
  </si>
  <si>
    <t>201.0412.1100028220.810</t>
  </si>
  <si>
    <t>233.0400.0000000000.000</t>
  </si>
  <si>
    <t>233.0412.0000000000.000</t>
  </si>
  <si>
    <t>233.0412.3000000000.000</t>
  </si>
  <si>
    <t>233.0412.3000006040.000</t>
  </si>
  <si>
    <t>233.0412.3000006040.500</t>
  </si>
  <si>
    <t>233.0412.3000006040.540</t>
  </si>
  <si>
    <t>233.0412.3000006060.000</t>
  </si>
  <si>
    <t>233.0412.3000006060.500</t>
  </si>
  <si>
    <t>233.0412.3000006060.540</t>
  </si>
  <si>
    <t>233.0500.0000000000.000</t>
  </si>
  <si>
    <t>233.0502.0000000000.000</t>
  </si>
  <si>
    <t>233.0502.0800000000.000</t>
  </si>
  <si>
    <t>233.0502.0820000000.000</t>
  </si>
  <si>
    <t>233.0502.0820075700.000</t>
  </si>
  <si>
    <t>Неисполненные назначения</t>
  </si>
  <si>
    <t>201.0412.1100028230.000</t>
  </si>
  <si>
    <t>201.0412.1100028230.800</t>
  </si>
  <si>
    <t>201.0412.1100028230.810</t>
  </si>
  <si>
    <t>201.0412.1100028250.000</t>
  </si>
  <si>
    <t>201.0412.1100028250.200</t>
  </si>
  <si>
    <t>201.0412.1100028250.240</t>
  </si>
  <si>
    <t>201.0412.1100028250.244</t>
  </si>
  <si>
    <t>201.0412.1100028270.000</t>
  </si>
  <si>
    <t>201.0412.1100028270.200</t>
  </si>
  <si>
    <t>201.0412.1100028270.240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</si>
  <si>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</si>
  <si>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</si>
  <si>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</si>
  <si>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</si>
  <si>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</si>
  <si>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</si>
  <si>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</si>
  <si>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411</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</si>
  <si>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</si>
  <si>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</si>
  <si>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</si>
  <si>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t>
  </si>
  <si>
    <t>20</t>
  </si>
  <si>
    <t>Субсидия бюджетам на поддержку отрасли культуры</t>
  </si>
  <si>
    <t>519</t>
  </si>
  <si>
    <t>Субсидия бюджетам муниципальных районов на поддержку отрасли культуры</t>
  </si>
  <si>
    <t>29</t>
  </si>
  <si>
    <t>Субсидии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</si>
  <si>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Субвенции на оплату проезда к месту жительства и обратно к месту учебы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расположенных на территории муниципального района, а также за пределами муниципального района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</si>
  <si>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</si>
  <si>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</si>
  <si>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Муниципальная программа Таймырского Долгано-Ненецкого муниципального района «Молодежь Таймыра»</t>
  </si>
  <si>
    <t>Предоставление иных межбюджетных трансфертов бюджетам городских и сельских поселений Таймырского Долгано- Ненецкого муниципального района на реализацию мероприятий муниципальной программы «Культура Таймыра»</t>
  </si>
  <si>
    <t>Расходы на предоставление, доставку и пересылку компенсационных выплат работникам учреждений, финансируемых за счет средств федерального бюджета и расположенных на территории  Таймырского Долгано-Ненецкого муниципального района</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</si>
  <si>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</si>
  <si>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</si>
  <si>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</si>
  <si>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</si>
  <si>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организацию выпуска приложения к газете «Таймыр», программ радиовещания и телевидения на языках коренных малочисленных народов Севера</t>
  </si>
  <si>
    <t>Субвенции на организацию деятельности органов местного самоуправления, обеспечивающих решение вопросов обеспечения гарантий прав коренных малочисленных народов Севера</t>
  </si>
  <si>
    <t>Субвенции на обеспечение лиц из числа коренных малочисленных народов Севера, занимающихся видом традиционной хозяйственной деятельности - оленеводством, лекарственными и медицинскими препаратами (медицинскими аптечками)</t>
  </si>
  <si>
    <t>274.0701.0200002120.612</t>
  </si>
  <si>
    <t>274.0701.0200074080.000</t>
  </si>
  <si>
    <t>274.0701.0200074080.100</t>
  </si>
  <si>
    <t>274.0701.0200074080.110</t>
  </si>
  <si>
    <t>274.0701.0200074080.111</t>
  </si>
  <si>
    <t>274.0701.0200074080.112</t>
  </si>
  <si>
    <t>274.0701.0200074080.119</t>
  </si>
  <si>
    <t>274.0701.0200074080.200</t>
  </si>
  <si>
    <t>274.0701.0200074080.240</t>
  </si>
  <si>
    <t>274.0701.0200074080.244</t>
  </si>
  <si>
    <t>274.0701.0200074080.600</t>
  </si>
  <si>
    <t>274.0701.0200074080.610</t>
  </si>
  <si>
    <t>274.0701.0200074080.611</t>
  </si>
  <si>
    <t>274.0701.0200075880.000</t>
  </si>
  <si>
    <t>274.0701.0200075880.100</t>
  </si>
  <si>
    <t>274.0701.0200075880.110</t>
  </si>
  <si>
    <t>274.0701.0200075880.111</t>
  </si>
  <si>
    <t>274.0701.0200075880.112</t>
  </si>
  <si>
    <t>274.0701.0200075880.119</t>
  </si>
  <si>
    <t>274.0701.0200075880.200</t>
  </si>
  <si>
    <t>274.0701.0200075880.240</t>
  </si>
  <si>
    <t>274.0701.0200075880.244</t>
  </si>
  <si>
    <t>274.0701.0200075880.600</t>
  </si>
  <si>
    <t>274.0701.0200075880.610</t>
  </si>
  <si>
    <t>274.0701.0200075880.611</t>
  </si>
  <si>
    <t>274.0702.0000000000.000</t>
  </si>
  <si>
    <t>274.0702.0200000000.000</t>
  </si>
  <si>
    <t>274.0702.0200002020.000</t>
  </si>
  <si>
    <t>274.0702.0200002020.100</t>
  </si>
  <si>
    <t>274.0702.0200002020.110</t>
  </si>
  <si>
    <t>274.0702.0200002020.111</t>
  </si>
  <si>
    <t>274.0702.0200002020.112</t>
  </si>
  <si>
    <t>7408</t>
  </si>
  <si>
    <t>7409</t>
  </si>
  <si>
    <t>Субвенции на выполнение отдельных государственных полномочий по организации проведения мероприятий по отлову и содержанию безнадзорных животных</t>
  </si>
  <si>
    <t>274.0709.0200002050.800</t>
  </si>
  <si>
    <t>274.0709.0200002050.850</t>
  </si>
  <si>
    <t>274.0709.0200002050.852</t>
  </si>
  <si>
    <t>274.0709.0200075520.000</t>
  </si>
  <si>
    <t>274.0709.0200075520.100</t>
  </si>
  <si>
    <t>274.0709.0200075520.120</t>
  </si>
  <si>
    <t>274.0709.0200075520.121</t>
  </si>
  <si>
    <t>274.0709.0200075520.122</t>
  </si>
  <si>
    <t>274.0709.0200075520.129</t>
  </si>
  <si>
    <t>274.0709.0200075520.200</t>
  </si>
  <si>
    <t>274.0709.0200075520.240</t>
  </si>
  <si>
    <t>274.0709.0200075520.244</t>
  </si>
  <si>
    <t>274.1000.0000000000.000</t>
  </si>
  <si>
    <t>274.1003.0000000000.000</t>
  </si>
  <si>
    <t>274.1003.0200000000.000</t>
  </si>
  <si>
    <t>274.1003.0200005270.000</t>
  </si>
  <si>
    <t>274.1003.0200005270.300</t>
  </si>
  <si>
    <t>274.1003.0200005270.320</t>
  </si>
  <si>
    <t>274.1003.0200005270.321</t>
  </si>
  <si>
    <t>274.1003.0200005280.000</t>
  </si>
  <si>
    <t>274.1003.0200005280.300</t>
  </si>
  <si>
    <t>274.1003.0200005280.320</t>
  </si>
  <si>
    <t>274.1003.0200005280.321</t>
  </si>
  <si>
    <t>274.1003.0200005300.000</t>
  </si>
  <si>
    <t>274.1003.0200005300.200</t>
  </si>
  <si>
    <t>274.1003.0200005300.240</t>
  </si>
  <si>
    <t>274.1003.0200005300.244</t>
  </si>
  <si>
    <t>274.1003.0200005310.000</t>
  </si>
  <si>
    <t>274.1003.0200005310.200</t>
  </si>
  <si>
    <t>274.1003.0200005310.240</t>
  </si>
  <si>
    <t>274.1003.0200005310.244</t>
  </si>
  <si>
    <t>274.1003.0200005310.300</t>
  </si>
  <si>
    <t>274.1003.0200005310.320</t>
  </si>
  <si>
    <t>274.1003.0200005310.321</t>
  </si>
  <si>
    <t>274.1003.0200075540.000</t>
  </si>
  <si>
    <t>Администрация Таймырского Долгано-Ненецкого муниципального района</t>
  </si>
  <si>
    <t>201.0000.0000000000.000</t>
  </si>
  <si>
    <t>201.0100.0000000000.000</t>
  </si>
  <si>
    <t>201.0104.0000000000.000</t>
  </si>
  <si>
    <t>201.0104.3000000000.000</t>
  </si>
  <si>
    <t>201.0104.3000001060.000</t>
  </si>
  <si>
    <t>201.0104.3000001060.100</t>
  </si>
  <si>
    <t>201.0104.3000001060.120</t>
  </si>
  <si>
    <t>Дотации бюджетам бюджетной системы Российской Федерации</t>
  </si>
  <si>
    <t>Субвенции бюджетам бюджетной системы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</si>
  <si>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</si>
  <si>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</si>
  <si>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</si>
  <si>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</si>
  <si>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обеспечение детей из числа коренных малочисленных народов Севера, обучающихся в общеобразовательных школах-интернатах или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</si>
  <si>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</si>
  <si>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</si>
  <si>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082</t>
  </si>
  <si>
    <t>233.0113.0800001070.000</t>
  </si>
  <si>
    <t>233.0113.0800001070.100</t>
  </si>
  <si>
    <t>233.0113.0800001070.120</t>
  </si>
  <si>
    <t>233.0113.0800001070.121</t>
  </si>
  <si>
    <t>233.0113.0800001070.129</t>
  </si>
  <si>
    <t>233.0113.0810000000.000</t>
  </si>
  <si>
    <t>233.0113.0810001060.000</t>
  </si>
  <si>
    <t>233.0113.0810001060.200</t>
  </si>
  <si>
    <t>233.0113.0810001060.240</t>
  </si>
  <si>
    <t xml:space="preserve">Единица измерения:  руб.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</si>
  <si>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</si>
  <si>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</si>
  <si>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274.1003.0200075540.200</t>
  </si>
  <si>
    <t>274.1003.0200075540.240</t>
  </si>
  <si>
    <t>274.1003.0200075540.244</t>
  </si>
  <si>
    <t>274.1003.0200075540.600</t>
  </si>
  <si>
    <t>274.1003.0200075540.610</t>
  </si>
  <si>
    <t>274.1003.0200075540.612</t>
  </si>
  <si>
    <t>274.1003.1100000000.000</t>
  </si>
  <si>
    <t>274.1003.1100075270.000</t>
  </si>
  <si>
    <t>274.1003.1100075270.300</t>
  </si>
  <si>
    <t>274.1003.1100075270.320</t>
  </si>
  <si>
    <t>274.1003.1100075270.321</t>
  </si>
  <si>
    <t>274.1003.1100075270.323</t>
  </si>
  <si>
    <t>274.1003.1100075270.360</t>
  </si>
  <si>
    <t>274.1003.1100075290.000</t>
  </si>
  <si>
    <t>274.1003.1100075290.200</t>
  </si>
  <si>
    <t>274.1003.1100075290.240</t>
  </si>
  <si>
    <t>274.1003.1100075290.244</t>
  </si>
  <si>
    <t>274.1004.0000000000.000</t>
  </si>
  <si>
    <t>274.1004.0200000000.000</t>
  </si>
  <si>
    <t>274.1004.02000R0820.000</t>
  </si>
  <si>
    <t>256.1003.0000000000.000</t>
  </si>
  <si>
    <t>256.1003.1100000000.000</t>
  </si>
  <si>
    <t>256.1003.1100075220.000</t>
  </si>
  <si>
    <t>256.1003.1100075220.200</t>
  </si>
  <si>
    <t>256.1003.1100075220.240</t>
  </si>
  <si>
    <t>256.1003.1100075220.244</t>
  </si>
  <si>
    <t>256.1003.1100075220.300</t>
  </si>
  <si>
    <t>256.1003.1100075220.320</t>
  </si>
  <si>
    <t>256.1003.1100075220.321</t>
  </si>
  <si>
    <t>256.1003.3000000000.000</t>
  </si>
  <si>
    <t>256.1003.3000005160.000</t>
  </si>
  <si>
    <t>256.1003.3000005160.200</t>
  </si>
  <si>
    <t>256.1003.3000005160.240</t>
  </si>
  <si>
    <t>256.1003.3000005160.244</t>
  </si>
  <si>
    <t>256.1003.3000005160.300</t>
  </si>
  <si>
    <t>256.1003.3000005160.320</t>
  </si>
  <si>
    <t>256.1003.3000005160.321</t>
  </si>
  <si>
    <t>256.1003.3000005210.000</t>
  </si>
  <si>
    <t>256.1003.3000005230.000</t>
  </si>
  <si>
    <t>256.1003.3000005230.200</t>
  </si>
  <si>
    <t>256.1003.3000005230.240</t>
  </si>
  <si>
    <t>256.1003.3000005230.244</t>
  </si>
  <si>
    <t>256.1003.3000005230.300</t>
  </si>
  <si>
    <t>256.1003.3000005230.320</t>
  </si>
  <si>
    <t>256.1003.3000005230.321</t>
  </si>
  <si>
    <t>256.1003.3000008320.000</t>
  </si>
  <si>
    <t>256.1003.3000008320.200</t>
  </si>
  <si>
    <t>256.1003.3000008320.240</t>
  </si>
  <si>
    <t>256.1003.3000008320.244</t>
  </si>
  <si>
    <t>256.1003.3000008320.300</t>
  </si>
  <si>
    <t>256.1003.3000008320.310</t>
  </si>
  <si>
    <t>256.1003.3000008320.313</t>
  </si>
  <si>
    <t>256.1003.3000008330.000</t>
  </si>
  <si>
    <t>256.1003.3000008330.300</t>
  </si>
  <si>
    <t>256.1003.3000008330.320</t>
  </si>
  <si>
    <t>256.1003.3000008330.321</t>
  </si>
  <si>
    <t>256.1006.0000000000.000</t>
  </si>
  <si>
    <t>256.1006.3000000000.000</t>
  </si>
  <si>
    <t>256.1006.3000075130.000</t>
  </si>
  <si>
    <t>256.1006.3000075130.100</t>
  </si>
  <si>
    <t>256.1006.3000075130.120</t>
  </si>
  <si>
    <t>256.1006.3000075130.121</t>
  </si>
  <si>
    <t>240.0412.0700003120.800</t>
  </si>
  <si>
    <t>240.0412.0700003120.810</t>
  </si>
  <si>
    <t>240.0412.0700003130.000</t>
  </si>
  <si>
    <t>240.0412.0700003130.800</t>
  </si>
  <si>
    <t>240.0412.0700003130.810</t>
  </si>
  <si>
    <t>240.0412.0700008610.000</t>
  </si>
  <si>
    <t>240.0412.0700008610.200</t>
  </si>
  <si>
    <t>240.0412.0700008610.240</t>
  </si>
  <si>
    <t>240.0412.0700008610.244</t>
  </si>
  <si>
    <t>240.0412.3000000000.000</t>
  </si>
  <si>
    <t>240.0412.3000003060.000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</si>
  <si>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</si>
  <si>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</si>
  <si>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231</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</si>
  <si>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</si>
  <si>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ВОЗВРАТ ОСТАТКОВ СУБСИДИЙ, СУБВЕНЦИЙ И ИНЫХ МЕЖБЮДЖЕТНЫХ ТРАНСФЕРТОВ, ИМЕЮЩИХ ЦЕЛЕВОЕ НАЗНАЧЕНИЕ, ПРОШЛЫХ ЛЕТ</t>
  </si>
  <si>
    <t>Плата за сбросы загрязняющих веществ в водные объекты</t>
  </si>
  <si>
    <t>Форма 0503117 с. 3</t>
  </si>
  <si>
    <t>04</t>
  </si>
  <si>
    <t>014</t>
  </si>
  <si>
    <t>025</t>
  </si>
  <si>
    <t>18</t>
  </si>
  <si>
    <t>07</t>
  </si>
  <si>
    <t>150</t>
  </si>
  <si>
    <t>170</t>
  </si>
  <si>
    <t>201</t>
  </si>
  <si>
    <t>174</t>
  </si>
  <si>
    <t>09</t>
  </si>
  <si>
    <t>050</t>
  </si>
  <si>
    <t>11</t>
  </si>
  <si>
    <t>120</t>
  </si>
  <si>
    <t>267</t>
  </si>
  <si>
    <t>Проценты, полученные от предоставления бюджетных кредитов бюджетам поселений муниципального района</t>
  </si>
  <si>
    <t>0300</t>
  </si>
  <si>
    <t>ШТРАФЫ, САНКЦИИ, ВОЗМЕЩЕНИЕ УЩЕРБА</t>
  </si>
  <si>
    <t>Денежные взыскания (штрафы) за нарушение законодательства о налогах и сборах</t>
  </si>
  <si>
    <t>Доходы бюджетов бюджетной системы Российской Федерации от возврата организациями остатков субсидий прошлых лет</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</si>
  <si>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</si>
  <si>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Плата за выбросы загрязняющих веществ в атмосферный воздух стационарными объектами</t>
  </si>
  <si>
    <t>0640</t>
  </si>
  <si>
    <t>33</t>
  </si>
  <si>
    <t>Расходы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t>
  </si>
  <si>
    <t>Обеспечение пожарной безопасности</t>
  </si>
  <si>
    <t>Расходы на обеспечение первичных мер пожарной безопасности</t>
  </si>
  <si>
    <t>278.0310.0000000000.000</t>
  </si>
  <si>
    <t>278.0310.3000000000.000</t>
  </si>
  <si>
    <t>278.0310.3000074120.000</t>
  </si>
  <si>
    <t>278.0310.3000074120.500</t>
  </si>
  <si>
    <t>278.0310.3000074120.540</t>
  </si>
  <si>
    <t>Расходы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</si>
  <si>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</si>
  <si>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</si>
  <si>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НАЛОГИ НА СОВОКУПНЫЙ ДОХОД</t>
  </si>
  <si>
    <t>Единый налог на вмененный доход для отдельных видов деятельности</t>
  </si>
  <si>
    <t>Бюджетные кредиты, предоставленные внутри страны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</si>
  <si>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</si>
  <si>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 xml:space="preserve">Мероприятия, направленные на создание условий для развития на территории муниципального района малого и среднего предпринимательства </t>
  </si>
  <si>
    <t>Иные пенсии, социальные доплаты к пенсиям</t>
  </si>
  <si>
    <t>Предоставление пенсии за выслугу лет муниципальным служащим</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</si>
  <si>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</si>
  <si>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</si>
  <si>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7528</t>
  </si>
  <si>
    <t>2823</t>
  </si>
  <si>
    <t>2824</t>
  </si>
  <si>
    <t>2825</t>
  </si>
  <si>
    <t>Пособия, компенсации, меры социальной поддержки по публичным нормативным обязательствам</t>
  </si>
  <si>
    <t>Пособия, компенсации и иные социальные выплаты гражданам, кроме публичных нормативных обязательств</t>
  </si>
  <si>
    <t>по ОКТМО</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</si>
  <si>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</si>
  <si>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</si>
  <si>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</si>
  <si>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БЕЗВОЗМЕЗДНЫЕ ПОСТУПЛЕНИЯ</t>
  </si>
  <si>
    <t>201.0104.3000001060.121</t>
  </si>
  <si>
    <t>201.0104.3000001060.122</t>
  </si>
  <si>
    <t>201.0104.3000001060.129</t>
  </si>
  <si>
    <t>201.0104.3000001060.200</t>
  </si>
  <si>
    <t>201.0104.3000001060.240</t>
  </si>
  <si>
    <t>201.0104.3000001060.244</t>
  </si>
  <si>
    <t>201.0104.3000001060.800</t>
  </si>
  <si>
    <t>201.0104.3000001060.850</t>
  </si>
  <si>
    <t>201.0104.3000001070.000</t>
  </si>
  <si>
    <t>201.0104.3000001070.100</t>
  </si>
  <si>
    <t>201.0104.3000001070.120</t>
  </si>
  <si>
    <t>201.0104.3000001070.121</t>
  </si>
  <si>
    <t>201.0104.3000001070.129</t>
  </si>
  <si>
    <t>201.0104.3000074290.000</t>
  </si>
  <si>
    <t>201.0104.3000074290.100</t>
  </si>
  <si>
    <t>201.0104.3000074290.120</t>
  </si>
  <si>
    <t>201.0104.3000074290.200</t>
  </si>
  <si>
    <t>201.0104.3000074290.240</t>
  </si>
  <si>
    <t>201.0104.3000074670.000</t>
  </si>
  <si>
    <t>201.0104.3000074670.100</t>
  </si>
  <si>
    <t>233.0502.0820075700.800</t>
  </si>
  <si>
    <t>233.0502.0820075700.810</t>
  </si>
  <si>
    <t>233.0502.0820075770.000</t>
  </si>
  <si>
    <t>233.0502.0820075770.800</t>
  </si>
  <si>
    <t>233.0502.0820075770.810</t>
  </si>
  <si>
    <t>233.0700.0000000000.000</t>
  </si>
  <si>
    <t>233.0701.0000000000.000</t>
  </si>
  <si>
    <t>233.0701.0800000000.000</t>
  </si>
  <si>
    <t>233.0701.0810000000.000</t>
  </si>
  <si>
    <t>233.0701.0810002010.000</t>
  </si>
  <si>
    <t>233.0701.0810002010.200</t>
  </si>
  <si>
    <t>233.0701.0810002010.240</t>
  </si>
  <si>
    <t>233.0701.0810002010.243</t>
  </si>
  <si>
    <t>233.0702.0000000000.000</t>
  </si>
  <si>
    <t>233.0702.0800000000.000</t>
  </si>
  <si>
    <t>233.0702.0810000000.000</t>
  </si>
  <si>
    <t>233.0702.0810002020.000</t>
  </si>
  <si>
    <t>233.0702.0810002020.200</t>
  </si>
  <si>
    <t>233.0702.0810002020.240</t>
  </si>
  <si>
    <t>233.0702.0810002020.243</t>
  </si>
  <si>
    <t>233.0702.0810002030.000</t>
  </si>
  <si>
    <t>Управление муниципального заказа и потребительского рынка Администрации Таймырского Долгано-Ненецкого муниципального района</t>
  </si>
  <si>
    <t>240.0000.0000000000.000</t>
  </si>
  <si>
    <t>240.0100.0000000000.000</t>
  </si>
  <si>
    <t>240.0113.0000000000.000</t>
  </si>
  <si>
    <t>240.0113.0800000000.000</t>
  </si>
  <si>
    <t>240.0113.0820000000.000</t>
  </si>
  <si>
    <t>240.0113.0820006110.000</t>
  </si>
  <si>
    <t>240.0113.0820006110.200</t>
  </si>
  <si>
    <t>240.0113.0820006110.240</t>
  </si>
  <si>
    <t>240.0113.0820006120.000</t>
  </si>
  <si>
    <t>240.0113.0820006120.200</t>
  </si>
  <si>
    <t>240.0113.0820006120.240</t>
  </si>
  <si>
    <t>240.0113.0820006120.244</t>
  </si>
  <si>
    <t>240.0113.0820006130.000</t>
  </si>
  <si>
    <t>240.0113.0820006130.200</t>
  </si>
  <si>
    <t>240.0113.0820006130.240</t>
  </si>
  <si>
    <t>240.0113.0820008950.000</t>
  </si>
  <si>
    <t>240.0113.0820008950.200</t>
  </si>
  <si>
    <t>240.0113.0820008950.240</t>
  </si>
  <si>
    <t>240.0113.0820008950.244</t>
  </si>
  <si>
    <t>240.0400.0000000000.000</t>
  </si>
  <si>
    <t>240.0412.0000000000.000</t>
  </si>
  <si>
    <t>240.0412.0700000000.000</t>
  </si>
  <si>
    <t>240.0412.0700003090.000</t>
  </si>
  <si>
    <t>240.0412.0700003090.800</t>
  </si>
  <si>
    <t>240.0412.0700003090.810</t>
  </si>
  <si>
    <t>240.0412.0700003120.000</t>
  </si>
  <si>
    <t>Доходы бюджетов муниципальных районов от возврата бюджетными учреждениями остатков субсидий прошлых лет</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</si>
  <si>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</si>
  <si>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</si>
  <si>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</si>
  <si>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</si>
  <si>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 xml:space="preserve">Прочие расходы на решение вопросов местного значения </t>
  </si>
  <si>
    <t>Бюджетные инвестиции на приобретение объектов недвижимого имущества в государственную (муниципальную) собственность</t>
  </si>
  <si>
    <t>274.1004.02000R0820.400</t>
  </si>
  <si>
    <t>274.1004.02000R0820.410</t>
  </si>
  <si>
    <t>274.1004.02000R0820.412</t>
  </si>
  <si>
    <t>Капитальные вложения в объекты государственной (муниципальной) собственности</t>
  </si>
  <si>
    <t>Бюджетные инвестиции</t>
  </si>
  <si>
    <t>Бюджетные инвестиции в объекты капитального строительства государственной (муниципальной) собственности</t>
  </si>
  <si>
    <t>233.0702.0810002020.400</t>
  </si>
  <si>
    <t>233.0702.0810002020.410</t>
  </si>
  <si>
    <t>233.0702.0810002030.400</t>
  </si>
  <si>
    <t>233.0702.0810002030.410</t>
  </si>
  <si>
    <t>233.0702.0810002030.414</t>
  </si>
  <si>
    <t>256.1002.3000001510.600</t>
  </si>
  <si>
    <t>256.1002.3000001510.610</t>
  </si>
  <si>
    <t>201.0412.0000000000.000</t>
  </si>
  <si>
    <t>201.0412.1100000000.000</t>
  </si>
  <si>
    <t>201.1003.0900006160.320</t>
  </si>
  <si>
    <t>201.1003.0900006160.322</t>
  </si>
  <si>
    <t>201.1003.0910000000.000</t>
  </si>
  <si>
    <t>201.1003.09100L0200.000</t>
  </si>
  <si>
    <t>201.1003.09100L0200.300</t>
  </si>
  <si>
    <t>201.1003.1100000000.000</t>
  </si>
  <si>
    <t>201.1003.1100028210.000</t>
  </si>
  <si>
    <t>201.1003.1100028210.300</t>
  </si>
  <si>
    <t>201.1003.1100028210.320</t>
  </si>
  <si>
    <t>201.1003.1100028210.321</t>
  </si>
  <si>
    <t>201.1003.1100028260.000</t>
  </si>
  <si>
    <t>201.1003.1100028260.200</t>
  </si>
  <si>
    <t>201.1003.1100028260.240</t>
  </si>
  <si>
    <t>201.1003.1100028260.244</t>
  </si>
  <si>
    <t>201.1003.1100075240.000</t>
  </si>
  <si>
    <t>201.1003.1100075240.300</t>
  </si>
  <si>
    <t>201.1003.1100075240.320</t>
  </si>
  <si>
    <t>201.1003.1100075240.321</t>
  </si>
  <si>
    <t>201.1003.1100075260.000</t>
  </si>
  <si>
    <t>201.1003.1100075260.200</t>
  </si>
  <si>
    <t>201.1003.1100075260.240</t>
  </si>
  <si>
    <t>201.1003.1100075260.244</t>
  </si>
  <si>
    <t>201.0707.0000000000.000</t>
  </si>
  <si>
    <t>201.0707.0500000000.000</t>
  </si>
  <si>
    <t>201.0707.0500002080.000</t>
  </si>
  <si>
    <t>201.0707.0500002080.100</t>
  </si>
  <si>
    <t>201.0707.0500002080.110</t>
  </si>
  <si>
    <t>201.0707.0500002080.111</t>
  </si>
  <si>
    <t>201.0707.0500002080.112</t>
  </si>
  <si>
    <t>201.0707.0500002080.119</t>
  </si>
  <si>
    <t>201.0707.0500002080.200</t>
  </si>
  <si>
    <t>201.0707.0500002080.240</t>
  </si>
  <si>
    <t>201.0707.0500002080.244</t>
  </si>
  <si>
    <t>201.0707.0500002080.800</t>
  </si>
  <si>
    <t>201.0707.0500002080.850</t>
  </si>
  <si>
    <t>201.0707.0500008110.000</t>
  </si>
  <si>
    <t>201.0707.0500008110.200</t>
  </si>
  <si>
    <t>201.0707.0500008110.240</t>
  </si>
  <si>
    <t>201.0707.0500008110.244</t>
  </si>
  <si>
    <t>201.0707.0500074560.000</t>
  </si>
  <si>
    <t>201.0707.0500074560.200</t>
  </si>
  <si>
    <t>201.0707.0500074560.240</t>
  </si>
  <si>
    <t>201.0707.05000S4560.000</t>
  </si>
  <si>
    <t>201.0707.05000S4560.200</t>
  </si>
  <si>
    <t>201.0707.05000S4560.240</t>
  </si>
  <si>
    <t>201.0800.0000000000.000</t>
  </si>
  <si>
    <t>201.0801.0000000000.000</t>
  </si>
  <si>
    <t>201.0801.0300000000.000</t>
  </si>
  <si>
    <t>201.0801.0300006020.000</t>
  </si>
  <si>
    <t>201.0801.0300006020.500</t>
  </si>
  <si>
    <t>201.0801.0300006020.540</t>
  </si>
  <si>
    <t>201.0801.0300007710.000</t>
  </si>
  <si>
    <t>201.0801.0300007710.200</t>
  </si>
  <si>
    <t>201.0801.0300007710.240</t>
  </si>
  <si>
    <t>201.0801.0300007710.244</t>
  </si>
  <si>
    <t>201.0801.3000000000.000</t>
  </si>
  <si>
    <t>201.0804.0000000000.000</t>
  </si>
  <si>
    <t>201.0804.3000000000.000</t>
  </si>
  <si>
    <t xml:space="preserve">Дотации на выравнивание бюджетной обеспеченности муниципальных районов из регионального фонда финансовой поддержки </t>
  </si>
  <si>
    <t>Мероприятия в сфере молодежной политики</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</si>
  <si>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</si>
  <si>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продажи земельных участков, находящихся в государственной и муниципальной собственности</t>
  </si>
  <si>
    <t>Субвенции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t>
  </si>
  <si>
    <t>0523</t>
  </si>
  <si>
    <t>0525</t>
  </si>
  <si>
    <t>0527</t>
  </si>
  <si>
    <t>0528</t>
  </si>
  <si>
    <t>0529</t>
  </si>
  <si>
    <t>0530</t>
  </si>
  <si>
    <t>0531</t>
  </si>
  <si>
    <t>0532</t>
  </si>
  <si>
    <t>Субвенции на предоставление социальных выплат пенсионерам, выезжающим за пределы муниципального района, на приобретение (строительство) жилья</t>
  </si>
  <si>
    <t>0616</t>
  </si>
  <si>
    <t>2821</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</si>
  <si>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</si>
  <si>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40</t>
  </si>
  <si>
    <t>60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</si>
  <si>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</si>
  <si>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Погашение бюджетных кредитов, полученных от других бюджетов бюджетной системы Российской Федерации в валюте Российской Федерации</t>
  </si>
  <si>
    <t>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</si>
  <si>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</si>
  <si>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810</t>
  </si>
  <si>
    <t>ОБСЛУЖИВАНИЕ ГОСУДАРСТВЕННОГО И МУНИЦИПАЛЬНОГО ДОЛГА</t>
  </si>
  <si>
    <t>295.1300.0000000000.000</t>
  </si>
  <si>
    <t>Обслуживание государственного внутреннего и муниципального долга</t>
  </si>
  <si>
    <t>295.1301.0000000000.000</t>
  </si>
  <si>
    <t>295.1301.3000000000.000</t>
  </si>
  <si>
    <t>Процентные платежи по муниципальному долгу</t>
  </si>
  <si>
    <t>295.1301.3000009810.000</t>
  </si>
  <si>
    <t>Обслуживание государственного (муниципального) долга</t>
  </si>
  <si>
    <t>295.1301.3000009810.700</t>
  </si>
  <si>
    <t>Обслуживание муниципального долга</t>
  </si>
  <si>
    <t>295.1301.3000009810.730</t>
  </si>
  <si>
    <t>233.0702.0810002020.414</t>
  </si>
  <si>
    <t>233.0702.0810075630.000</t>
  </si>
  <si>
    <t>233.0702.0810075630.400</t>
  </si>
  <si>
    <t>233.0702.0810075630.410</t>
  </si>
  <si>
    <t>233.0702.0810075630.414</t>
  </si>
  <si>
    <t>240.0113.3000000000.000</t>
  </si>
  <si>
    <t>240.0113.3000001060.000</t>
  </si>
  <si>
    <t>240.0113.3000001060.100</t>
  </si>
  <si>
    <t>240.0113.3000001060.120</t>
  </si>
  <si>
    <t>240.0113.3000001060.121</t>
  </si>
  <si>
    <t>240.0113.3000001060.122</t>
  </si>
  <si>
    <t>240.0113.3000001060.129</t>
  </si>
  <si>
    <t>240.0113.3000001060.200</t>
  </si>
  <si>
    <t>240.0113.3000001060.240</t>
  </si>
  <si>
    <t>240.0113.3000001060.244</t>
  </si>
  <si>
    <t>240.0113.3000001060.800</t>
  </si>
  <si>
    <t>240.0113.3000001060.850</t>
  </si>
  <si>
    <t>240.0113.3000001060.853</t>
  </si>
  <si>
    <t>240.0113.3000001070.000</t>
  </si>
  <si>
    <t>240.0113.3000001070.100</t>
  </si>
  <si>
    <t>240.0113.3000001070.120</t>
  </si>
  <si>
    <t>240.0113.3000001070.121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</si>
  <si>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</si>
  <si>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201.0113.0000000000.000</t>
  </si>
  <si>
    <t>201.0113.0300000000.000</t>
  </si>
  <si>
    <t>201.0113.0300002060.000</t>
  </si>
  <si>
    <t>201.0113.0300002060.100</t>
  </si>
  <si>
    <t>201.0113.0300002060.110</t>
  </si>
  <si>
    <t>201.0113.0300002060.111</t>
  </si>
  <si>
    <t>201.0113.0300002060.112</t>
  </si>
  <si>
    <t>201.0113.0300002060.119</t>
  </si>
  <si>
    <t>201.0113.0300002060.200</t>
  </si>
  <si>
    <t>201.0113.0300002060.240</t>
  </si>
  <si>
    <t>201.0113.0300002060.244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</si>
  <si>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</si>
  <si>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</si>
  <si>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188</t>
  </si>
  <si>
    <t>23</t>
  </si>
  <si>
    <t>052</t>
  </si>
  <si>
    <t>25</t>
  </si>
  <si>
    <t>076</t>
  </si>
  <si>
    <t>28</t>
  </si>
  <si>
    <t>35</t>
  </si>
  <si>
    <t>43</t>
  </si>
  <si>
    <t>90</t>
  </si>
  <si>
    <t>069</t>
  </si>
  <si>
    <t>177</t>
  </si>
  <si>
    <t>Прочие поступления от денежных взысканий (штрафов) и иных сумм в возмещение ущерба, наложенные на территории городских поселений муниципального района</t>
  </si>
  <si>
    <t>Изменение остатков средств (стр. 710 + стр. 720)</t>
  </si>
  <si>
    <t>увеличение остатков средств, всего</t>
  </si>
  <si>
    <t>уменьшение остатков средств, всего</t>
  </si>
  <si>
    <t>Социальное обслуживание населения</t>
  </si>
  <si>
    <t>Расходы на выполнение отдельных государственных полномочий по организации проведения мероприятий по отлову и содержанию безнадзорных животных</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</si>
  <si>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</si>
  <si>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</si>
  <si>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</si>
  <si>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Субвенции на реализацию отдельных мер по обеспечению ограничения платы граждан за коммунальные услуги</t>
  </si>
  <si>
    <t>029</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</si>
  <si>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</si>
  <si>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7552</t>
  </si>
  <si>
    <t>7554</t>
  </si>
  <si>
    <t>201.0104.3000074670.120</t>
  </si>
  <si>
    <t>201.0104.3000074670.121</t>
  </si>
  <si>
    <t>201.0104.3000074670.129</t>
  </si>
  <si>
    <t>201.0104.3000074670.200</t>
  </si>
  <si>
    <t>201.0104.3000074670.240</t>
  </si>
  <si>
    <t>201.0104.3000074670.244</t>
  </si>
  <si>
    <t>201.0104.3000075210.000</t>
  </si>
  <si>
    <t>201.0104.3000075210.100</t>
  </si>
  <si>
    <t>201.0104.3000075210.120</t>
  </si>
  <si>
    <t>201.0104.3000075210.121</t>
  </si>
  <si>
    <t>201.0104.3000075210.122</t>
  </si>
  <si>
    <t>201.0104.3000075210.129</t>
  </si>
  <si>
    <t>201.0104.3000075210.200</t>
  </si>
  <si>
    <t>201.0104.3000075210.240</t>
  </si>
  <si>
    <t>201.0104.3000075210.244</t>
  </si>
  <si>
    <t>201.0104.3000076040.000</t>
  </si>
  <si>
    <t>201.0104.3000076040.100</t>
  </si>
  <si>
    <t>201.0104.3000076040.120</t>
  </si>
  <si>
    <t>201.0104.3000076040.121</t>
  </si>
  <si>
    <t>201.0104.3000076040.122</t>
  </si>
  <si>
    <t>201.0104.3000076040.129</t>
  </si>
  <si>
    <t>201.0104.3000076040.200</t>
  </si>
  <si>
    <t>201.0104.3000076040.240</t>
  </si>
  <si>
    <t>201.0104.3000076040.244</t>
  </si>
  <si>
    <t>Мероприятия в области дорожного хозяйства (дорожные фонды)</t>
  </si>
  <si>
    <t>Расходы на реализацию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</si>
  <si>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Расходы на обеспечение деятельности муниципального учреждения, реализующего мероприятия в сфере молодежной политики на территории муниципального района</t>
  </si>
  <si>
    <t>Мероприятия, направленные на предупреждение экстремистских проявлений и недопущение совершения террористических актов на территории муниципального района</t>
  </si>
  <si>
    <t>Реализация полномочий органов местного самоуправления города Дудинки по организации завоза угля для учреждений культуры и территориальных отделов администрации города Дудинка</t>
  </si>
  <si>
    <t>Реализация полномочий органов местного самоуправления сельского поселения Хатанга по организации завоза угля для учреждений культуры и административных зданий администрации поселения, находящихся в поселках сельского поселения Хатанга</t>
  </si>
  <si>
    <t>Реализация полномочий органов местного самоуправления сельского поселения Караул по организации завоза угля для учреждений культуры и административных зданий администрации поселения, находящихся в поселках сельского поселения Караул</t>
  </si>
  <si>
    <t>024</t>
  </si>
  <si>
    <t>Мобилизационная и вневойсковая подготовка</t>
  </si>
  <si>
    <t>Сельское хозяйство и рыболовство</t>
  </si>
  <si>
    <t>37</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</si>
  <si>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</si>
  <si>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Другие вопросы в области социальной политики</t>
  </si>
  <si>
    <t>СОЦИАЛЬНАЯ ПОЛИТИКА</t>
  </si>
  <si>
    <t>053</t>
  </si>
  <si>
    <t>Расходы на обеспечение деятельности муниципального учреждения, осуществляющего формирование и содержание муниципального архива, включая хранение архивных фондов поселений</t>
  </si>
  <si>
    <t>Уплата налога на имущество организаций и земельного налога</t>
  </si>
  <si>
    <t>Расходы на выполнение государственных полномочий по созданию и обеспечению деятельности административных комиссий</t>
  </si>
  <si>
    <t>Расходы на выполнение отдельных государственных полномочий по решению вопросов поддержки сельскохозяйственного производства</t>
  </si>
  <si>
    <t>7570</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</si>
  <si>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</si>
  <si>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</si>
  <si>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денежных средств бюджетов муниципальных районов</t>
  </si>
  <si>
    <t>Расходы на реализацию отдельных мер по обеспечению ограничения платы граждан за коммунальные услуги</t>
  </si>
  <si>
    <t>ОБРАЗОВАНИЕ</t>
  </si>
  <si>
    <t>Софинансирование мероприятий по поддержке деятельности муниципальных молодежных центров, предусмотренных государственной программой Красноярского края «Молодежь Красноярского края в ХХI веке», за счет средств районного бюджета</t>
  </si>
  <si>
    <t>Уплата иных платежей</t>
  </si>
  <si>
    <t>Специальные расходы</t>
  </si>
  <si>
    <t>Предоставление иных межбюджетных трансфертов бюджетам городских и сельских поселений Таймырского Долгано-Ненецкого муниципального района общего характера</t>
  </si>
  <si>
    <t>04653000</t>
  </si>
  <si>
    <t>7564</t>
  </si>
  <si>
    <t>Субвенции на оплату неработающим пенсионерам, имеющим доход ниже двукратного размера величины прожиточного минимума, установленного для соответствующей группы территорий края для соответствующей социально-демографической группы населения, изготовления стоматологических протезов (кроме расходов на оплату стоимости драгоценных металлов и металлокерамики) в размере восьмидесяти процентов</t>
  </si>
  <si>
    <t>Субвенции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t>
  </si>
  <si>
    <t>0521</t>
  </si>
  <si>
    <t>Субвенции бюджетам муниципальных районов на государственную регистрацию актов гражданского состояния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</si>
  <si>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</si>
  <si>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</si>
  <si>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t>
  </si>
  <si>
    <t>Другие вопросы в области культуры, кинематографии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</si>
  <si>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</si>
  <si>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по ОКЕИ</t>
  </si>
  <si>
    <t>383</t>
  </si>
  <si>
    <t>в том числе:</t>
  </si>
  <si>
    <t>000</t>
  </si>
  <si>
    <t>1</t>
  </si>
  <si>
    <t>00</t>
  </si>
  <si>
    <t>0000</t>
  </si>
  <si>
    <t>182</t>
  </si>
  <si>
    <t>01</t>
  </si>
  <si>
    <t>110</t>
  </si>
  <si>
    <t>012</t>
  </si>
  <si>
    <t>02</t>
  </si>
  <si>
    <t>1000</t>
  </si>
  <si>
    <t>3000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</si>
  <si>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</si>
  <si>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6</t>
  </si>
  <si>
    <t>Другие общегосударственные вопросы</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</si>
  <si>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</si>
  <si>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410</t>
  </si>
  <si>
    <t>7529</t>
  </si>
  <si>
    <t xml:space="preserve">Муниципальная программа Таймырского Долгано-Ненецкого муниципального района «Развитие физической культуры и спорта на территории Таймырского Долгано-Ненецкого муниципального района» </t>
  </si>
  <si>
    <t xml:space="preserve">Муниципальная программа Таймырского Долгано-Ненецкого муниципального района «Развитие образования Таймырского Долгано-Ненецкого муниципального района» </t>
  </si>
  <si>
    <t>161</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</si>
  <si>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</si>
  <si>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5515</t>
  </si>
  <si>
    <t>201.0412.11000R5154.000</t>
  </si>
  <si>
    <t>201.0412.11000R5154.200</t>
  </si>
  <si>
    <t>201.0412.11000R5154.240</t>
  </si>
  <si>
    <t>201.0412.11000R5154.244</t>
  </si>
  <si>
    <t>267.0113.3000009840.000</t>
  </si>
  <si>
    <t>267.0113.3000009840.400</t>
  </si>
  <si>
    <t>233.0703.0800000000.000</t>
  </si>
  <si>
    <t>233.0703.0000000000.000</t>
  </si>
  <si>
    <t>233.0702.08100S5630.414</t>
  </si>
  <si>
    <t>233.0702.08100S5630.410</t>
  </si>
  <si>
    <t>233.0702.08100S5630.400</t>
  </si>
  <si>
    <t>233.0702.08100S5630.000</t>
  </si>
  <si>
    <t>201.0801.0300007710.350</t>
  </si>
  <si>
    <t>Премии и гранты</t>
  </si>
  <si>
    <t>201.0801.0300007710.300</t>
  </si>
  <si>
    <t>201.0707.0500008110.350</t>
  </si>
  <si>
    <t>201.0707.0500008110.300</t>
  </si>
  <si>
    <t>201.0113.3000000000.000</t>
  </si>
  <si>
    <t>201.0113.3000002130.000</t>
  </si>
  <si>
    <t>Другие вопросы в области физической культуры и спорта</t>
  </si>
  <si>
    <t>201.1105.0000000000.000</t>
  </si>
  <si>
    <t>201.1105.3000000000.000</t>
  </si>
  <si>
    <t>201.1105.3000001060.000</t>
  </si>
  <si>
    <t>201.1105.3000001060.100</t>
  </si>
  <si>
    <t>201.1105.3000001060.120</t>
  </si>
  <si>
    <t>201.1105.3000001060.121</t>
  </si>
  <si>
    <t>201.1105.3000001060.122</t>
  </si>
  <si>
    <t>201.1105.3000001060.129</t>
  </si>
  <si>
    <t>201.1105.3000001070.000</t>
  </si>
  <si>
    <t>201.1105.3000001070.100</t>
  </si>
  <si>
    <t>201.1105.3000001070.120</t>
  </si>
  <si>
    <t>201.1105.3000001070.121</t>
  </si>
  <si>
    <t>201.1105.3000001070.129</t>
  </si>
  <si>
    <t>Предоставление субсидий муниципальным казенным предприятиям Таймырского Долгано-Ненецкого муниципального района на финансовое обеспечение (возмещение) части затрат,связанных с производством редакционно-полиграфической продукции</t>
  </si>
  <si>
    <t>201.0804.3000001060.000</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</si>
  <si>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</si>
  <si>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</si>
  <si>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</si>
  <si>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099</t>
  </si>
  <si>
    <t>Массовый спорт</t>
  </si>
  <si>
    <t>201.1003.09100L0200.320</t>
  </si>
  <si>
    <t>201.1003.09100L0200.322</t>
  </si>
  <si>
    <t>201.1102.0000000000.000</t>
  </si>
  <si>
    <t>201.1102.0400000000.000</t>
  </si>
  <si>
    <t>201.1102.0400008010.000</t>
  </si>
  <si>
    <t>201.1102.0400008010.200</t>
  </si>
  <si>
    <t>201.1102.0400008010.240</t>
  </si>
  <si>
    <t>201.1102.0400008010.244</t>
  </si>
  <si>
    <t>233.0412.3000075180.000</t>
  </si>
  <si>
    <t>233.0412.3000075180.200</t>
  </si>
  <si>
    <t>233.0412.3000075180.240</t>
  </si>
  <si>
    <t>233.0412.3000075180.244</t>
  </si>
  <si>
    <t>274.0702.02000S5630.000</t>
  </si>
  <si>
    <t>274.0702.02000S5630.200</t>
  </si>
  <si>
    <t>274.0702.02000S5630.240</t>
  </si>
  <si>
    <t>7412</t>
  </si>
  <si>
    <t>274.0702.0200002020.119</t>
  </si>
  <si>
    <t>274.0702.0200002020.200</t>
  </si>
  <si>
    <t>274.0702.0200002020.240</t>
  </si>
  <si>
    <t>274.0702.0200002020.243</t>
  </si>
  <si>
    <t>274.0702.0200002020.244</t>
  </si>
  <si>
    <t>274.0702.0200002020.800</t>
  </si>
  <si>
    <t>274.0702.0200002020.850</t>
  </si>
  <si>
    <t>274.0702.0200002020.852</t>
  </si>
  <si>
    <t>274.0702.0200002020.853</t>
  </si>
  <si>
    <t>274.0702.0200002030.000</t>
  </si>
  <si>
    <t>274.0702.0200002030.100</t>
  </si>
  <si>
    <t>274.0702.0200002030.110</t>
  </si>
  <si>
    <t>274.0702.0200002030.111</t>
  </si>
  <si>
    <t>274.0702.0200002030.112</t>
  </si>
  <si>
    <t>274.0702.0200002030.119</t>
  </si>
  <si>
    <t>274.0702.0200002030.200</t>
  </si>
  <si>
    <t>274.0702.0200002030.240</t>
  </si>
  <si>
    <t>274.0702.0200002030.244</t>
  </si>
  <si>
    <t>274.0702.0200002030.800</t>
  </si>
  <si>
    <t>274.0702.0200002030.850</t>
  </si>
  <si>
    <t>274.0702.0200002030.852</t>
  </si>
  <si>
    <t>274.0702.0200002030.853</t>
  </si>
  <si>
    <t>274.0702.0200005320.000</t>
  </si>
  <si>
    <t>274.0702.0200005320.100</t>
  </si>
  <si>
    <t>274.0702.0200005320.110</t>
  </si>
  <si>
    <t>274.0702.0200005320.111</t>
  </si>
  <si>
    <t>274.0702.0200005320.119</t>
  </si>
  <si>
    <t>274.0702.0200007320.000</t>
  </si>
  <si>
    <t>274.0702.0200007320.200</t>
  </si>
  <si>
    <t>274.0702.0200007320.240</t>
  </si>
  <si>
    <t>274.0702.0200007320.244</t>
  </si>
  <si>
    <t>274.0702.0200007330.000</t>
  </si>
  <si>
    <t>274.0702.0200007330.100</t>
  </si>
  <si>
    <t>274.0702.0200007330.110</t>
  </si>
  <si>
    <t>274.0702.0200007330.112</t>
  </si>
  <si>
    <t>274.0702.0200007330.200</t>
  </si>
  <si>
    <t>274.0702.0200007330.240</t>
  </si>
  <si>
    <t>274.0702.0200007330.244</t>
  </si>
  <si>
    <t>274.0702.0200074080.000</t>
  </si>
  <si>
    <t>274.0702.0200074080.100</t>
  </si>
  <si>
    <t>274.0702.0200074080.110</t>
  </si>
  <si>
    <t>274.0702.0200074080.111</t>
  </si>
  <si>
    <t>274.0702.0200074080.112</t>
  </si>
  <si>
    <t>274.0702.0200074080.119</t>
  </si>
  <si>
    <t>274.0702.0200074080.200</t>
  </si>
  <si>
    <t>274.0702.0200074080.240</t>
  </si>
  <si>
    <t>274.0702.0200074080.244</t>
  </si>
  <si>
    <t>274.0702.0200074090.000</t>
  </si>
  <si>
    <t>274.0702.0200074090.100</t>
  </si>
  <si>
    <t>274.0702.0200074090.110</t>
  </si>
  <si>
    <t>274.0702.0200074090.111</t>
  </si>
  <si>
    <t>274.0702.0200074090.112</t>
  </si>
  <si>
    <t>274.0702.0200074090.119</t>
  </si>
  <si>
    <t>274.0702.0200074090.200</t>
  </si>
  <si>
    <t>274.0702.0200074090.240</t>
  </si>
  <si>
    <t>274.0702.0200074090.244</t>
  </si>
  <si>
    <t>274.0702.0200075640.000</t>
  </si>
  <si>
    <t>274.0702.0200075640.100</t>
  </si>
  <si>
    <t>274.0702.0200075640.110</t>
  </si>
  <si>
    <t>274.0702.0200075640.111</t>
  </si>
  <si>
    <t>274.0702.0200075640.112</t>
  </si>
  <si>
    <t>274.0702.0200075640.119</t>
  </si>
  <si>
    <t>274.0702.0200075640.200</t>
  </si>
  <si>
    <t>274.0702.0200075640.240</t>
  </si>
  <si>
    <t>274.0702.0200075640.244</t>
  </si>
  <si>
    <t>274.0702.0200075880.000</t>
  </si>
  <si>
    <t>274.0702.0200075880.100</t>
  </si>
  <si>
    <t>274.0702.0200075880.110</t>
  </si>
  <si>
    <t>274.0702.0200075880.111</t>
  </si>
  <si>
    <t>274.0702.0200075880.112</t>
  </si>
  <si>
    <t>274.0702.0200075880.119</t>
  </si>
  <si>
    <t>274.0702.0200075880.200</t>
  </si>
  <si>
    <t>274.0702.0200075880.240</t>
  </si>
  <si>
    <t>274.0702.0200075880.244</t>
  </si>
  <si>
    <t>274.0707.0000000000.000</t>
  </si>
  <si>
    <t>274.0707.0200000000.000</t>
  </si>
  <si>
    <t>274.0707.0200007310.000</t>
  </si>
  <si>
    <t>274.0707.0200007310.200</t>
  </si>
  <si>
    <t>274.0707.0200007310.240</t>
  </si>
  <si>
    <t>274.0707.0200007310.244</t>
  </si>
  <si>
    <t>274.0707.0500000000.000</t>
  </si>
  <si>
    <t>274.0707.0500008110.000</t>
  </si>
  <si>
    <t>274.0707.0500008110.200</t>
  </si>
  <si>
    <t>274.0707.0500008110.240</t>
  </si>
  <si>
    <t>274.0707.0500008110.244</t>
  </si>
  <si>
    <t>274.0707.0500008120.000</t>
  </si>
  <si>
    <t>274.0707.0500008120.200</t>
  </si>
  <si>
    <t>274.0707.0500008120.240</t>
  </si>
  <si>
    <t>274.0707.0500008120.244</t>
  </si>
  <si>
    <t>274.0709.0000000000.000</t>
  </si>
  <si>
    <t>274.0709.0200000000.000</t>
  </si>
  <si>
    <t>274.0709.0200001060.000</t>
  </si>
  <si>
    <t>274.0709.0200001060.100</t>
  </si>
  <si>
    <t>274.0709.0200001060.120</t>
  </si>
  <si>
    <t>274.0709.0200001060.121</t>
  </si>
  <si>
    <t>274.0709.0200001060.122</t>
  </si>
  <si>
    <t>274.0709.0200001060.129</t>
  </si>
  <si>
    <t>274.0709.0200001060.200</t>
  </si>
  <si>
    <t>274.0709.0200001060.240</t>
  </si>
  <si>
    <t>274.0709.0200001060.244</t>
  </si>
  <si>
    <t>274.0709.0200001060.800</t>
  </si>
  <si>
    <t>274.0709.0200001060.850</t>
  </si>
  <si>
    <t>274.0709.0200001070.000</t>
  </si>
  <si>
    <t>274.0709.0200001070.100</t>
  </si>
  <si>
    <t>274.0709.0200001070.120</t>
  </si>
  <si>
    <t>274.0709.0200001070.121</t>
  </si>
  <si>
    <t>274.0709.0200001070.129</t>
  </si>
  <si>
    <t>274.0709.0200002050.000</t>
  </si>
  <si>
    <t>274.0709.0200002050.100</t>
  </si>
  <si>
    <t>274.0709.0200002050.110</t>
  </si>
  <si>
    <t>274.0709.0200002050.111</t>
  </si>
  <si>
    <t>274.0709.0200002050.112</t>
  </si>
  <si>
    <t>274.0709.0200002050.119</t>
  </si>
  <si>
    <t>274.0709.0200002050.200</t>
  </si>
  <si>
    <t>274.0709.0200002050.240</t>
  </si>
  <si>
    <t>274.0709.0200002050.244</t>
  </si>
  <si>
    <t>233.0113.0810001060.243</t>
  </si>
  <si>
    <t>240.0113.0820006110.244</t>
  </si>
  <si>
    <t>240.0113.0820006130.244</t>
  </si>
  <si>
    <t>240.1003.0820005250.244</t>
  </si>
  <si>
    <t>201.0707.0500074560.244</t>
  </si>
  <si>
    <t>201.0707.05000S4560.244</t>
  </si>
  <si>
    <t>Единый налог на вмененный доход для отдельных видов деятельности (за налоговые периоды, истекшие до 1 января 2011 года)</t>
  </si>
  <si>
    <t>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t>
  </si>
  <si>
    <t>Подпрограмма «Развитие транспортной отрасли муниципального района» муниципальной программы Таймырского Долгано-Ненецкого муниципального района «Развитие транспортно-дорожного комплекса и информационного общества Таймырского Долгано-Ненецкого муниципального района»</t>
  </si>
  <si>
    <t>Расходы на содержание муниципального казенного учреждения осуществляющего организацию материально-технического обеспечения, закупок товаров, работ и услуг, ведение бюджетного, бухгалтерского и налогового учета, хозяйственное обслуживание, информационное, организационное и документационное обеспечение деятельности Администрации муниципального района</t>
  </si>
  <si>
    <t>Подпрограмма «Дороги Таймыра» муниципальной программы Таймырского Долгано-Ненецкого муниципального района «Развитие транспортно-дорожного комплекса и информационного общества Таймырского Долгано-Ненецкого муниципального района»</t>
  </si>
  <si>
    <t xml:space="preserve">Муниципальная программа Таймырского Долгано-Ненецкого муниципального района «Создание условий для сохранения традиционного образа жизни коренных малочисленных народов Таймырского Долгано-Ненецкого муниципального района и защиты их исконной среды обитания» </t>
  </si>
  <si>
    <t>Предоставление иных межбюджетных трансфертов бюджетам городских и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t>
  </si>
  <si>
    <t>201.0707.0500008120.300</t>
  </si>
  <si>
    <t>201.0707.0500008120.350</t>
  </si>
  <si>
    <t>Подпрограмма «Обеспечение жильем молодых семей Таймырского Долгано-Ненецкого муниципального района» муниципальной программы Таймырского Долгано-Ненецкого муниципального района «Улучшение жилищных условий отдельных категорий граждан Таймырского Долгано-Ненецкого муниципального района»</t>
  </si>
  <si>
    <t>Софинансирование мероприятий по обеспечению жильем молодых семей в Красноярском крае, предусмотренных государственной программой Красноярского края «Создание условий для обеспечения доступным и комфортным жильем граждан Красноярского края»  за счет средств районного бюджета</t>
  </si>
  <si>
    <t>Расходы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лицам, ведущим традиционный образ жизни и (или) традиционную хозяйственную деятельность, с учетом почтовых расходов или расходов российских кредитных организаций</t>
  </si>
  <si>
    <t>Муниципальная программа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t>
  </si>
  <si>
    <t xml:space="preserve">Подпрограмма «Организация и создание условий для безопасного и комфортного функционирования объектов муниципальной собственности» муниципальной программы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 </t>
  </si>
  <si>
    <t>Предоставление иных межбюджетных трансфертов бюджетам городских и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выдаче разрешений на установку и эксплуатацию рекламных конструкций в соответствии с заключенными соглашениями</t>
  </si>
  <si>
    <t>Предоставление иных межбюджетных трансфертов бюджетам сельских поселений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20 ст. 14 Федерального закона от 06.10.2003 №131-ФЗ «Об общих принципах организации местного самоуправления в Российской Федерации»</t>
  </si>
  <si>
    <t xml:space="preserve">Подпрограмма «Создание условий для обеспечения населения и учреждений  жилищно-коммунальными услугами и топливно-энергетическими ресурсами» муниципальной программы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 </t>
  </si>
  <si>
    <t>Расходы на предоставление субсидий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</si>
  <si>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Предоставление субсидий субъектам малого и среднего предпринимательства, осуществляющим деятельность в области ремесел, народных художественных промыслов, сельского и экологического туризма, на возмещение части затрат в связи с производством (реализацией) товаров, выполнением работ, оказанием услуг, связанных с осуществлением деятельности</t>
  </si>
  <si>
    <t>Предоставление субсидий определенным по результатам конкурсного отбора юридическим лицам (за исключением государственных (муниципальных) учреждений) и индивидуальным предпринимателям, осуществляющим розничную торговлю продовольственными товарами на территории сельского поселения Хатанга, городского поселения Диксон, поселка Хантайское Озеро городского поселения Дудинка, на возмещение части затрат, связанных с обеспечением основными продуктами питания населения указанных поселений и поселка Хантайское Озеро</t>
  </si>
  <si>
    <t>Расходы на оплату неработающим пенсионерам, имеющим доход ниже двукратного размера величины прожиточного минимума, установленного для соответствующей группы территорий края для соответствующей социально-демографической группы населения, изготовления стоматологических протезов (кроме расходов на оплату стоимости драгоценных металлов и металлокерамики) в размере восьмидесяти процентов</t>
  </si>
  <si>
    <t>Расходы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</si>
  <si>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</si>
  <si>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</si>
  <si>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</si>
  <si>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</si>
  <si>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Расходы на оплату проезда к месту жительства и обратно к месту учебы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расположенных на территории муниципального района, а также за пределами муниципального района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</si>
  <si>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</si>
  <si>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</si>
  <si>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</si>
  <si>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</si>
  <si>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</si>
  <si>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</si>
  <si>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</si>
  <si>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Субсидии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t>
  </si>
  <si>
    <t>1047</t>
  </si>
  <si>
    <t>Субсидии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</si>
  <si>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на обеспечение твердым топливом (углем) граждан, проживающих на территории Таймырского Долгано-Ненецкого муниципального района в домах с печным отоплением (включая доставку)</t>
  </si>
  <si>
    <t>Субвенции на выплату материальной помощи для оплаты питания и проживания студентам и слушателям,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из семей со среднедушевым доходом ниже величины прожиточного минимума, установленного для соответствующей группы территорий края на душу населения, за исключением лиц, которым предоставлены меры социальной поддержки в соответствии со статьей 46 Закона края от 18 декабря 2008 года № 7-2660 «О социальной поддержке граждан, проживающих в Таймырском Долгано-Ненецком муниципальном районе Красноярского края»</t>
  </si>
  <si>
    <t>Субвенции на социальную выплату (компенсацию) родителям (законным представителям) на оплату части родительской платы за присмотр и уход за детьми в муниципальных образовательных организациях, реализующих образовательную программу дошкольного образования и находящихся на территории муниципального района</t>
  </si>
  <si>
    <t>Субвенции на обеспечение одеждой, обувью и мягким инвентарем учащихся из числа коренных малочисленных народов Севера и из семей, среднедушевой доход которых ниже величины прожиточного минимума, установленной по соответствующей группе территорий края на душу населения, проживающих в интернатах муниципальных общеобразовательных организаций, расположенных в муниципальном районе, за исключением обучающихся с ограниченными возможностями здоровья</t>
  </si>
  <si>
    <t>Субвенции на обеспечение молоком и продуктами, обогащенными йодом, учащихся муниципальных общеобразовательных организаций с 1-го по 4-й классы включительно (за исключением находящихся на полном государственном обеспечении), обеспечение бесплатным питанием (горячий завтрак и обед или горячий завтрак) или осуществление выплаты ежемесячных денежных компенсаций взамен бесплатного питания учащимся муниципальных общеобразовательных организаций из семей со среднедушевым доходом ниже величины прожиточного минимума, установленного для соответствующей группы территорий края на душу населения, учащимся, находящимся в трудной жизненной ситуации, обучающимся с ограниченными возможностями здоровья в муниципальных общеобразовательных организациях, не проживающим в интернатах указанных организаций</t>
  </si>
  <si>
    <t>Субвенции 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t>
  </si>
  <si>
    <t>Субвенции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t>
  </si>
  <si>
    <t>Субвенции на 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году, предшествующем текущему году</t>
  </si>
  <si>
    <t>Субвенции на предоставление субсидий на возмещение части затрат, связанных с реализацией мяса домашнего северного оленя, сельскохозяйственным организациям всех форм собственности и индивидуальным предпринимателям, осуществляющим реализацию мяса домашнего северного оленя</t>
  </si>
  <si>
    <t>Субвенции на предоставление субсидии на возмещение части затрат, связанных с реализацией продукции объектов животного мира (мяса дикого северного оленя) и (или) водных биологических ресурсов и продукции их переработки, организациям всех форм собственности и индивидуальным предпринимателям, осуществляющим реализацию продукции объектов животного мира (мяса дикого северного оленя) и (или) водных биологических ресурсов и продукции их переработки, с численностью их работников и (или) привлеченных ими по гражданско-правовым договорам граждан из числа коренных малочисленных народов Севера, составляющей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объектов животного мира (мяса дикого северного оленя) и (или) водных биологических ресурсов, проживающих в Таймырском Долгано-Ненецком муниципальном районе</t>
  </si>
  <si>
    <t>Субвенции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(рыболовство, промысловая охота), в форме безвозмездного обеспечения керосином для освещения кочевого жилья либо компенсации расходов на приобретение и доставку керосина для освещения кочевого жилья</t>
  </si>
  <si>
    <t>Субвенции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</si>
  <si>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Субвенции на обеспечение комплектами для новорожденных женщин из числа коренных малочисленных народов Севера, проживающих в сельской местности, вне зависимости от дохода семьи, а также женщин из числа коренных малочисленных народов Севера, проживающих в городе Дудинка и поселке Диксон,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</si>
  <si>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Субвенции бюджету муниципального образования на осуществление компенсационных выплат гражданам, ведущим традиционный образ жизни и осуществляющим традиционную хозяйственную деятельность (оленеводство),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t>
  </si>
  <si>
    <t>Субвенции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в форме безвозмездного обеспечения керосином для освещения кочевого жилья либо компенсации расходов на приобретение и доставку керосина для освещения кочевого жилья</t>
  </si>
  <si>
    <t>Субвенции на организацию и проведение социально значимого мероприятия коренных малочисленных народов Севера День оленевода, а также конкурсов в рамках проведения социально значимого мероприятия коренных малочисленных народов Севера</t>
  </si>
  <si>
    <t>Субвенции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 в форме безвозмездного обеспечения кочевым жильем в виде балка или выплаты компенсации расходов на изготовление и оснащение кочевого жилья</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</si>
  <si>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</si>
  <si>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</si>
  <si>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на осуществление компенсационных выплат гражданам, ведущим традиционный образ жизни и осуществляющим традиционную хозяйственную деятельность (рыболовство, промысловая охота), постоянно проживающим на промысловых точках и факториях,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гражданам, ведущим традиционный образ жизни, в возрасте 14 лет и старше, состоящим в трудовых отношениях с организациями или индивидуальными предпринимателями, основным видом деятельности которых является традиционная хозяйственная деятельность (рыболовство, промысловая охота), и выполняющим работы по осуществлению указанных видов деятельности</t>
  </si>
  <si>
    <t>Субвенции на предоставление субсидий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сельскохозяйственным организациям всех форм собственности и индивидуальным предпринимателям, осуществляющим производство сельскохозяйственной продукции</t>
  </si>
  <si>
    <t>Субвенции на осуществление компенсации расходов на оплату проезда к месту учебы и обратно один раз в год студентам из числа коренных малочисленных народов Севера, в том числе студентам, завершившим обучение в текущем году, относящимся к детям-сиротам, осуществление выплаты дополнительной стипендии студентам из числа коренных малочисленных народов Севера, обучающимся за пределами муниципального района, осуществление частичной оплаты за обучение студентов из числа коренных малочисленных народов Севера, доход семьи которых ниже величины прожиточного минимума, установленного для соответствующей группы территорий края на душу населения, обучающихся на платной основе по очной форме обучения в профессиональных образовательных организациях и образовательных организациях высшего образования, расположенных за пределами муниципального района, осуществление компенсации расходов на оплату проезда от места жительства до города Дудинки и обратно один раз в год абитуриентам из числа коренных малочисленных народов Севера, проживающим в сельских поселениях муниципального района</t>
  </si>
  <si>
    <t>Субвенции на организацию и проведение социально значимых мероприятий коренных малочисленных народов Севера (День рыбака, Международный день коренных народов мира, День образования Таймыра, другие мероприятия, направленные на сохранение и развитие родных языков, культуры, традиционного образа жизни и осуществления традиционной хозяйственной деятельности коренных малочисленных народов Севера), а также конкурсов в рамках проведения социально значимых мероприятий коренных малочисленных народов Севера, обеспечение участия проживающих на территории муниципального района лиц из числа коренных малочисленных народов Севера в социально значимых мероприятиях коренных малочисленных народов межмуниципального, краевого, межрегионального и всероссийского уровня в соответствии с устанавливаемыми Правительством края перечнем социально значимых мероприятий коренных малочисленных народов межмуниципального, краевого, межрегионального и всероссийского уровня, в которых обеспечивается участие проживающих на территории муниципального района лиц из числа коренных малочисленных народов Севера, и порядком участия этих лиц в социально значимых мероприятиях коренных малочисленных народов межмуниципального, краевого, межрегионального и всероссийского уровня</t>
  </si>
  <si>
    <t>Субвенции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</si>
  <si>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на осуществление государственных полномочий по обеспечению отдыха и оздоровления детей</t>
  </si>
  <si>
    <t>7649</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</si>
  <si>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</si>
  <si>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</si>
  <si>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</si>
  <si>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Прочая закупка товаров, работ и услуг</t>
  </si>
  <si>
    <t>Судебная система</t>
  </si>
  <si>
    <t>201.0105.0000000000.000</t>
  </si>
  <si>
    <t>201.0105.3000000000.000</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</si>
  <si>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</si>
  <si>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201.0105.3000051200.000</t>
  </si>
  <si>
    <t>201.0105.3000051200.200</t>
  </si>
  <si>
    <t>201.0105.3000051200.240</t>
  </si>
  <si>
    <t>201.0105.3000051200.244</t>
  </si>
  <si>
    <t>201.0113.3000002090.000</t>
  </si>
  <si>
    <t>201.0113.3000002090.100</t>
  </si>
  <si>
    <t>201.0113.3000002090.110</t>
  </si>
  <si>
    <t>201.0113.3000002090.111</t>
  </si>
  <si>
    <t>201.0113.3000002090.112</t>
  </si>
  <si>
    <t>201.0113.3000002090.119</t>
  </si>
  <si>
    <t>201.0113.3000002090.200</t>
  </si>
  <si>
    <t>201.0113.3000002090.240</t>
  </si>
  <si>
    <t>201.0113.3000002090.244</t>
  </si>
  <si>
    <t>201.0113.3000002090.800</t>
  </si>
  <si>
    <t>201.0113.3000002090.850</t>
  </si>
  <si>
    <t>201.0113.3000002090.851</t>
  </si>
  <si>
    <t>201.0113.3000002090.852</t>
  </si>
  <si>
    <t>201.0113.3000002090.853</t>
  </si>
  <si>
    <t xml:space="preserve">Муниципальная программа Таймырского Долгано-Ненецкого муниципального района «Развитие транспортно-дорожного комплекса и информационного общества Таймырского Долгано-Ненецкого муниципального района» </t>
  </si>
  <si>
    <t>Предоставление субсидий юридическим лицам, индивидуальным предпринимателям на возмещение части затрат, связанных с осуществлением регулярных пассажирских перевозок воздушным транспортом на территории Таймырского Долгано- Ненецкого муниципального района</t>
  </si>
  <si>
    <t>Предоставление субсидий юридическим лицам, индивидуальным предпринимателям на возмещение части затрат, связанных с осуществлением регулярных пассажирских перевозок водным транспортом на территории Таймырского Долгано-Ненецкого муниципального района</t>
  </si>
  <si>
    <t>Реализация полномочий органов местного самоуправления города Дудинки в части осуществления контроля за движением крупногабаритных и (или) тяжеловесных транспортных средств</t>
  </si>
  <si>
    <t>201.0408.3000006190.000</t>
  </si>
  <si>
    <t>201.0408.3000006190.100</t>
  </si>
  <si>
    <t>201.0408.3000006190.120</t>
  </si>
  <si>
    <t>201.0408.3000006190.121</t>
  </si>
  <si>
    <t>201.0408.3000006190.129</t>
  </si>
  <si>
    <t>201.0408.3000006190.200</t>
  </si>
  <si>
    <t>201.0408.3000006190.240</t>
  </si>
  <si>
    <t>201.0408.3000006190.244</t>
  </si>
  <si>
    <t>Расходы на предоставление субсидий на возмещение части затрат, связанных с реализацией мяса домашнего северного оленя, сельскохозяйственным организациям всех форм собственности и индивидуальным предпринимателям, осуществляющим реализацию мяса домашнего северного оленя</t>
  </si>
  <si>
    <t>Расходы на предоставление субсидии на возмещение части затрат, связанных с реализацией продукции объектов животного мира (мяса дикого северного оленя) и (или) водных биологических ресурсов и продукции их переработки, организациям всех форм собственности и индивидуальным предпринимателям, осуществляющим реализацию продукции объектов животного мира (мяса дикого северного оленя) и (или) водных биологических ресурсов и продукции их переработки, с численностью их работников и (или) привлеченных ими по гражданско-правовым договорам граждан из числа коренных малочисленных народов Севера, составляющей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объектов животного мира (мяса дикого северного оленя) и (или) водных биологических ресурсов, проживающих в Таймырском Долгано-Ненецком муниципальном районе</t>
  </si>
  <si>
    <t>Расходы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</si>
  <si>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Расходы на организацию и проведение социально значимого мероприятия коренных малочисленных народов Севера День оленевода, а также конкурсов в рамках проведения социально значимого мероприятия коренных малочисленных народов Севера</t>
  </si>
  <si>
    <t>Расходы на предоставление субсидий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сельскохозяйственным организациям всех форм собственности и индивидуальным предпринимателям, осуществляющим производство сельскохозяйственной продукции</t>
  </si>
  <si>
    <t>Расходы на организацию и проведение социально значимых мероприятий коренных малочисленных народов Севера (День рыбака, Международный день коренных народов мира, День образования Таймыра, другие мероприятия, направленные на сохранение и развитие родных языков, культуры, традиционного образа жизни и осуществления традиционной хозяйственной деятельности коренных малочисленных народов Севера), а также конкурсов в рамках проведения социально значимых мероприятий коренных малочисленных народов Севера, обеспечение участия проживающих на территории муниципального района лиц из числа коренных малочисленных народов Севера в социально значимых мероприятиях коренных малочисленных народов межмуниципального, краевого, межрегионального и всероссийского уровня в соответствии с устанавливаемыми Правительством края перечнем социально значимых мероприятий коренных малочисленных народов межмуниципального, краевого, межрегионального и всероссийского уровня</t>
  </si>
  <si>
    <t>Расходы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(рыболовство, промысловая охота), в форме безвозмездного обеспечения кочевым жильем в виде балка или выплаты компенсации расходов на изготовление и оснащение кочевого жилья</t>
  </si>
  <si>
    <t>Расходы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в форме безвозмездного обеспечения кочевым жильем в виде балка или выплаты компенсации расходов на изготовление и оснащение кочевого жилья</t>
  </si>
  <si>
    <t>201.0412.11000R5155.000</t>
  </si>
  <si>
    <t>201.0412.11000R5155.200</t>
  </si>
  <si>
    <t>201.0412.11000R5155.240</t>
  </si>
  <si>
    <t>201.0412.11000R5155.244</t>
  </si>
  <si>
    <t>Предоставление иных межбюджетных трансфертов бюджетам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t>
  </si>
  <si>
    <t>201.0801.0300006070.000</t>
  </si>
  <si>
    <t>201.0801.0300006070.500</t>
  </si>
  <si>
    <t>201.0801.0300006070.540</t>
  </si>
  <si>
    <t>Расходы на предоставление социальных выплат пенсионерам, выезжающим за пределы муниципального района, на приобретение (строительство) жилья</t>
  </si>
  <si>
    <t>Расходы на 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году, предшествующем текущему году</t>
  </si>
  <si>
    <t>Расходы на обеспечение комплектами для новорожденных женщин из числа коренных малочисленных народов Севера, проживающих в сельской местности, вне зависимости от дохода семьи, а также женщин из числа коренных малочисленных народов Севера, проживающих в городе Дудинка и поселке Диксон,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</si>
  <si>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201.1101.0400002110.622</t>
  </si>
  <si>
    <t>208.0107.3000001030.200</t>
  </si>
  <si>
    <t>208.0107.3000001030.240</t>
  </si>
  <si>
    <t>208.0107.3000001030.244</t>
  </si>
  <si>
    <t>Проведение выборов в представительные органы муниципального образования</t>
  </si>
  <si>
    <t>208.0107.3000001040.000</t>
  </si>
  <si>
    <t>208.0107.3000001040.800</t>
  </si>
  <si>
    <t>208.0107.3000001040.880</t>
  </si>
  <si>
    <t>230.0106.3000001060.200</t>
  </si>
  <si>
    <t>230.0106.3000001060.240</t>
  </si>
  <si>
    <t>230.0106.3000001060.244</t>
  </si>
  <si>
    <t>Жилищное хозяйство</t>
  </si>
  <si>
    <t>233.0501.0000000000.000</t>
  </si>
  <si>
    <t>233.0501.3000000000.000</t>
  </si>
  <si>
    <t>Реализация полномочий органов местного самоуправления города Дудинки по организации содержания муниципального жилищного фонда в части утверждения краткосрочных планов реализации региональной программы капитального ремонта общего имущества в многоквартирных домах</t>
  </si>
  <si>
    <t>233.0501.3000006140.000</t>
  </si>
  <si>
    <t>233.0501.3000006140.200</t>
  </si>
  <si>
    <t>233.0501.3000006140.240</t>
  </si>
  <si>
    <t>233.0501.3000006140.244</t>
  </si>
  <si>
    <t>Реализация полномочий органов местного самоуправления сельского поселения Хатанга по организации содержания муниципального жилищного фонда в части утверждения краткосрочных планов реализации региональной программы капитального ремонта общего имущества в многоквартирных домах</t>
  </si>
  <si>
    <t>233.0501.3000006150.000</t>
  </si>
  <si>
    <t>233.0501.3000006150.200</t>
  </si>
  <si>
    <t>233.0501.3000006150.240</t>
  </si>
  <si>
    <t>233.0501.3000006150.244</t>
  </si>
  <si>
    <t>Реализация полномочий органов местного самоуправления городского поселения Диксон по организации содержания муниципального жилищного фонда в части утверждения краткосрочных планов реализации региональной программы капитального ремонта общего имущества в многоквартирных домах</t>
  </si>
  <si>
    <t>233.0501.3000006180.000</t>
  </si>
  <si>
    <t>233.0501.3000006180.200</t>
  </si>
  <si>
    <t>233.0501.3000006180.240</t>
  </si>
  <si>
    <t>233.0501.3000006180.244</t>
  </si>
  <si>
    <t>Расходы на развитие инфраструктуры общеобразовательных учреждений</t>
  </si>
  <si>
    <t>Софинансирование расходов на развитие инфраструктуры общеобразовательных учреждений</t>
  </si>
  <si>
    <t>233.1100.0000000000.000</t>
  </si>
  <si>
    <t>233.1101.0000000000.000</t>
  </si>
  <si>
    <t>233.1101.0800000000.000</t>
  </si>
  <si>
    <t>233.1101.0810000000.000</t>
  </si>
  <si>
    <t>233.1101.0810008010.000</t>
  </si>
  <si>
    <t>233.1101.0810008010.400</t>
  </si>
  <si>
    <t>233.1101.0810008010.410</t>
  </si>
  <si>
    <t>233.1101.0810008010.414</t>
  </si>
  <si>
    <t>240.0412.0700003140.000</t>
  </si>
  <si>
    <t>240.0412.0700003140.800</t>
  </si>
  <si>
    <t>240.0412.0700003140.810</t>
  </si>
  <si>
    <t>Расходы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(рыболовство, промысловая охота), в форме безвозмездного обеспечения керосином для освещения кочевого жилья либо компенсации расходов на приобретение и доставку керосина для освещения кочевого жилья</t>
  </si>
  <si>
    <t>Расходы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в форме безвозмездного обеспечения керосином для освещения кочевого жилья либо компенсации расходов на приобретение и доставку керосина для освещения кочевого жилья</t>
  </si>
  <si>
    <t>Расходы на финансирование расходов по социальному обслуживанию граждан, в том числе по предоставлению мер социальной поддержки работникам муниципальных учреждений социального обслуживания</t>
  </si>
  <si>
    <t>Расходы на осуществление компенсационных выплат гражданам, ведущим традиционный образ жизни и осуществляющим традиционную хозяйственную деятельность (оленеводство),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t>
  </si>
  <si>
    <t>Расходы на осуществление компенсационных выплат гражданам, ведущим традиционный образ жизни и осуществляющим традиционную хозяйственную деятельность (рыболовство, промысловая охота), постоянно проживающим на промысловых точках и факториях,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гражданам, ведущим традиционный образ жизни, в возрасте 14 лет и старше, состоящим в трудовых отношениях с организациями или индивидуальными предпринимателями, основным видом деятельности которых является традиционная хозяйственная деятельность (рыболовство, промысловая охота), и выполняющим работы по осуществлению указанных видов деятельности</t>
  </si>
  <si>
    <t>256.1003.3000006400.000</t>
  </si>
  <si>
    <t>256.1003.3000006400.300</t>
  </si>
  <si>
    <t>256.1003.3000006400.320</t>
  </si>
  <si>
    <t>256.1003.3000006400.323</t>
  </si>
  <si>
    <t>Расходы 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t>
  </si>
  <si>
    <t>Расходы на обеспечение отдыха и оздоровления детей</t>
  </si>
  <si>
    <t>274.0707.0200076490.000</t>
  </si>
  <si>
    <t>274.0707.0200076490.200</t>
  </si>
  <si>
    <t>274.0707.0200076490.240</t>
  </si>
  <si>
    <t>274.0707.0200076490.244</t>
  </si>
  <si>
    <t>Расходы на выплату материальной помощи для оплаты питания и проживания студентам и слушателям,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из семей со среднедушевым доходом ниже величины прожиточного минимума, установленного для соответствующей группы территорий края на душу населения, за исключением лиц, которым предоставлены меры социальной поддержки в соответствии со статьей 46 Закона края от 18 декабря 2008 года № 7-2660 «О социальной поддержке граждан, проживающих в Таймырском Долгано-Ненецком муниципальном районе Красноярского края»</t>
  </si>
  <si>
    <t>Расходы на предоставление ежемесячной социальной выплаты (компенсации) родителям (законным представителям) на оплату части родительской платы за присмотр и уход за детьми в муниципальных образовательных организациях, реализующих образовательную программу дошкольного образования и находящихся на территории муниципального района</t>
  </si>
  <si>
    <t>274.1003.0200005290.000</t>
  </si>
  <si>
    <t>274.1003.0200005290.200</t>
  </si>
  <si>
    <t>274.1003.0200005290.240</t>
  </si>
  <si>
    <t>274.1003.0200005290.244</t>
  </si>
  <si>
    <t>274.1003.0200005290.300</t>
  </si>
  <si>
    <t>274.1003.0200005290.320</t>
  </si>
  <si>
    <t>274.1003.0200005290.321</t>
  </si>
  <si>
    <t>Расходы на обеспечение одеждой, обувью и мягким инвентарем учащихся из числа коренных малочисленных народов Севера и из семей, среднедушевой доход которых ниже величины прожиточного минимума, установленной по соответствующей группе территорий края на душу населения, проживающих в интернатах муниципальных общеобразовательных организаций, расположенных в муниципальном районе, за исключением обучающихся с ограниченными возможностями здоровья</t>
  </si>
  <si>
    <t>Расходы на обеспечение молоком и продуктами, обогащенными йодом, учащихся муниципальных общеобразовательных организаций с 1-го по 4-й классы включительно (за исключением находящихся на полном государственном обеспечении), обеспечение бесплатным питанием (горячий завтрак и обед или горячий завтрак) или осуществление выплаты ежемесячных денежных компенсаций взамен бесплатного питания учащимся муниципальных общеобразовательных организаций из семей со среднедушевым доходом ниже величины прожиточного минимума, установленного для соответствующей группы территорий края на душу населения, учащимся, находящимся в трудной жизненной ситуации, обучающимся с ограниченными возможностями здоровья в муниципальных общеобразовательных организациях, не проживающим в интернатах указанных организаций</t>
  </si>
  <si>
    <t>Расходы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</si>
  <si>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Расходы на осуществление компенсации расходов на оплату проезда к месту учебы и обратно один раз в год студентам из числа коренных малочисленных народов Севера, в т.ч. студентам, завершившим обучение в текущем году, относящимся к детям-сиротам, выплаты дополнительной стипендии студентам из числа коренных малочисленных народов Севера, обучающимся за пределами муниципального района, частичной оплаты за обучение студентов из числа коренных малочисленных народов Севера, доход семьи которых ниже величины прожиточного минимума, установленного для соответствующей группы территорий края на душу населения, обучающихся на платной основе по очной форме обучения в профессиональных образовательных организациях и учреждениях высшего образования, расположенных за пределами муниципального района, компенсации расходов на оплату проезда от места жительства до города Дудинки и обратно один раз в год абитуриентам из числа коренных малочисленных народов Севера, проживающим в сельских поселениях муниципального района</t>
  </si>
  <si>
    <t>Расходы на обеспечение детей из числа коренных малочисленных народов Севера, обучающихся в общеобразовательных школах-интернатах или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t>
  </si>
  <si>
    <t>Расходы на предоставление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</si>
  <si>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274.1004.0200075560.000</t>
  </si>
  <si>
    <t>274.1004.0200075560.200</t>
  </si>
  <si>
    <t>274.1004.0200075560.240</t>
  </si>
  <si>
    <t>274.1004.0200075560.244</t>
  </si>
  <si>
    <t>274.1004.0200075560.300</t>
  </si>
  <si>
    <t>274.1004.0200075560.320</t>
  </si>
  <si>
    <t>274.1004.0200075560.321</t>
  </si>
  <si>
    <t>278.0309.0100007010.800</t>
  </si>
  <si>
    <t>278.0309.0100007010.850</t>
  </si>
  <si>
    <t>278.0309.0100007010.852</t>
  </si>
  <si>
    <t>278.0309.0100075160.800</t>
  </si>
  <si>
    <t>278.0309.0100075160.850</t>
  </si>
  <si>
    <t>278.0309.0100075160.852</t>
  </si>
  <si>
    <t xml:space="preserve">Расходы на реализацию государственных полномочий по расчету и предоставлению дотаций поселениям, входящим в состав муниципального района края </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</si>
  <si>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</si>
  <si>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</si>
  <si>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Возврат бюджетных кредитов, предоставленных на осуществление деятельности по организации и проведению завоза топливно-энергетических ресурсов на территорию муниципального района</t>
  </si>
  <si>
    <t>201.0102.3000010470.000</t>
  </si>
  <si>
    <t>201.0102.3000010470.100</t>
  </si>
  <si>
    <t>201.0102.3000010470.120</t>
  </si>
  <si>
    <t>201.0102.3000010470.121</t>
  </si>
  <si>
    <t>201.0102.3000010470.129</t>
  </si>
  <si>
    <t>201.0104.3000010470.000</t>
  </si>
  <si>
    <t>201.0104.3000010470.100</t>
  </si>
  <si>
    <t>201.0104.3000010470.120</t>
  </si>
  <si>
    <t>201.0104.3000010470.121</t>
  </si>
  <si>
    <t>201.0104.3000010470.129</t>
  </si>
  <si>
    <t>Расходы на повышение размеров оплаты труда работников бюджетной сферы Красноярского края с 1 января 2018 года на 4 процента</t>
  </si>
  <si>
    <t>201.0113.0300010470.000</t>
  </si>
  <si>
    <t>201.0113.0300010470.100</t>
  </si>
  <si>
    <t>201.0113.0300010470.110</t>
  </si>
  <si>
    <t>201.0113.0300010470.111</t>
  </si>
  <si>
    <t>201.0113.0300010470.119</t>
  </si>
  <si>
    <t>Исполнение судебных актов</t>
  </si>
  <si>
    <t>201.0113.3000002090.830</t>
  </si>
  <si>
    <t>Исполнение судебных актов Российской Федерации и мировых соглашений по возмещению причиненного вреда</t>
  </si>
  <si>
    <t>201.0113.3000002090.831</t>
  </si>
  <si>
    <t>201.0113.3000010470.000</t>
  </si>
  <si>
    <t>201.0113.3000010470.100</t>
  </si>
  <si>
    <t>201.0113.3000010470.110</t>
  </si>
  <si>
    <t>201.0113.3000010470.111</t>
  </si>
  <si>
    <t>201.0113.3000010470.119</t>
  </si>
  <si>
    <t>201.0408.3000010470.000</t>
  </si>
  <si>
    <t>201.0408.3000010470.100</t>
  </si>
  <si>
    <t>201.0408.3000010470.120</t>
  </si>
  <si>
    <t>201.0408.3000010470.121</t>
  </si>
  <si>
    <t>201.0408.3000010470.129</t>
  </si>
  <si>
    <t>201.0409.3000000000.000</t>
  </si>
  <si>
    <t>Расходы на реализацию мероприятий, направленных на повышение безопасности дорожного движения</t>
  </si>
  <si>
    <t>Расходы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t>
  </si>
  <si>
    <t>201.0409.3000075080.000</t>
  </si>
  <si>
    <t>201.0409.3000075080.500</t>
  </si>
  <si>
    <t>201.0409.3000075080.540</t>
  </si>
  <si>
    <t>Расходы на капитальный ремонт и ремонт автомобильных дорог общего пользования местного значения</t>
  </si>
  <si>
    <t>201.0703.3000000000.000</t>
  </si>
  <si>
    <t>Расходы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спортивных школ олимпийского резерва, реализующих программы спортивной подготовки</t>
  </si>
  <si>
    <t>201.0703.3000010480.000</t>
  </si>
  <si>
    <t>201.0703.3000010480.500</t>
  </si>
  <si>
    <t>201.0703.3000010480.540</t>
  </si>
  <si>
    <t>201.0707.3000000000.000</t>
  </si>
  <si>
    <t>201.0707.3000010470.000</t>
  </si>
  <si>
    <t>201.0707.3000010470.100</t>
  </si>
  <si>
    <t>201.0707.3000010470.110</t>
  </si>
  <si>
    <t>201.0707.3000010470.111</t>
  </si>
  <si>
    <t>201.0707.3000010470.119</t>
  </si>
  <si>
    <t>201.0804.3000010470.000</t>
  </si>
  <si>
    <t>201.0804.3000010470.100</t>
  </si>
  <si>
    <t>201.0804.3000010470.120</t>
  </si>
  <si>
    <t>201.0804.3000010470.121</t>
  </si>
  <si>
    <t>201.0804.3000010470.129</t>
  </si>
  <si>
    <t>201.1101.3000000000.000</t>
  </si>
  <si>
    <t>201.1101.3000010470.000</t>
  </si>
  <si>
    <t>201.1101.3000010470.600</t>
  </si>
  <si>
    <t>201.1101.3000010470.620</t>
  </si>
  <si>
    <t>201.1101.3000010470.621</t>
  </si>
  <si>
    <t>201.1105.3000010470.000</t>
  </si>
  <si>
    <t>201.1105.3000010470.100</t>
  </si>
  <si>
    <t>201.1105.3000010470.120</t>
  </si>
  <si>
    <t>201.1105.3000010470.121</t>
  </si>
  <si>
    <t>201.1105.3000010470.129</t>
  </si>
  <si>
    <t>208.0107.3000010470.000</t>
  </si>
  <si>
    <t>208.0107.3000010470.100</t>
  </si>
  <si>
    <t>208.0107.3000010470.120</t>
  </si>
  <si>
    <t>208.0107.3000010470.121</t>
  </si>
  <si>
    <t>208.0107.3000010470.129</t>
  </si>
  <si>
    <t>230.0106.3000010470.000</t>
  </si>
  <si>
    <t>230.0106.3000010470.100</t>
  </si>
  <si>
    <t>230.0106.3000010470.120</t>
  </si>
  <si>
    <t>230.0106.3000010470.121</t>
  </si>
  <si>
    <t>230.0106.3000010470.129</t>
  </si>
  <si>
    <t>231.0103.3000010470.000</t>
  </si>
  <si>
    <t>231.0103.3000010470.100</t>
  </si>
  <si>
    <t>231.0103.3000010470.120</t>
  </si>
  <si>
    <t>231.0103.3000010470.121</t>
  </si>
  <si>
    <t>231.0103.3000010470.129</t>
  </si>
  <si>
    <t>233.0113.0800010470.000</t>
  </si>
  <si>
    <t>233.0113.0800010470.100</t>
  </si>
  <si>
    <t>233.0113.0800010470.120</t>
  </si>
  <si>
    <t>233.0113.0800010470.121</t>
  </si>
  <si>
    <t>233.0113.0800010470.129</t>
  </si>
  <si>
    <t>Водное хозяйство</t>
  </si>
  <si>
    <t>233.0406.0000000000.000</t>
  </si>
  <si>
    <t>Благоустройство</t>
  </si>
  <si>
    <t>233.0503.0000000000.000</t>
  </si>
  <si>
    <t>233.0503.3000000000.000</t>
  </si>
  <si>
    <t>Расходы на формирование современной городской среды</t>
  </si>
  <si>
    <t>240.0113.3000010470.000</t>
  </si>
  <si>
    <t>240.0113.3000010470.100</t>
  </si>
  <si>
    <t>240.0113.3000010470.120</t>
  </si>
  <si>
    <t>240.0113.3000010470.121</t>
  </si>
  <si>
    <t>240.0113.3000010470.129</t>
  </si>
  <si>
    <t>267.0113.3000010470.000</t>
  </si>
  <si>
    <t>267.0113.3000010470.100</t>
  </si>
  <si>
    <t>267.0113.3000010470.120</t>
  </si>
  <si>
    <t>267.0113.3000010470.121</t>
  </si>
  <si>
    <t>267.0113.3000010470.129</t>
  </si>
  <si>
    <t>274.0701.3000000000.000</t>
  </si>
  <si>
    <t>274.0701.3000010470.000</t>
  </si>
  <si>
    <t>274.0701.3000010470.100</t>
  </si>
  <si>
    <t>274.0701.3000010470.110</t>
  </si>
  <si>
    <t>274.0701.3000010470.111</t>
  </si>
  <si>
    <t>274.0701.3000010470.119</t>
  </si>
  <si>
    <t>274.0701.3000010470.600</t>
  </si>
  <si>
    <t>274.0701.3000010470.610</t>
  </si>
  <si>
    <t>274.0701.3000010470.611</t>
  </si>
  <si>
    <t>274.0702.3000000000.000</t>
  </si>
  <si>
    <t>274.0702.3000010470.000</t>
  </si>
  <si>
    <t>274.0702.3000010470.100</t>
  </si>
  <si>
    <t>274.0702.3000010470.110</t>
  </si>
  <si>
    <t>274.0702.3000010470.111</t>
  </si>
  <si>
    <t>274.0702.3000010470.119</t>
  </si>
  <si>
    <t>Расходы на развитие налогового потенциала в муниципальном районе</t>
  </si>
  <si>
    <t>274.0702.3000077450.000</t>
  </si>
  <si>
    <t>274.0702.3000077450.200</t>
  </si>
  <si>
    <t>274.0702.3000077450.240</t>
  </si>
  <si>
    <t>274.0702.3000077450.243</t>
  </si>
  <si>
    <t>274.0703.3000000000.000</t>
  </si>
  <si>
    <t>274.0703.3000010470.000</t>
  </si>
  <si>
    <t>274.0703.3000010470.100</t>
  </si>
  <si>
    <t>274.0703.3000010470.110</t>
  </si>
  <si>
    <t>274.0703.3000010470.111</t>
  </si>
  <si>
    <t>274.0703.3000010470.119</t>
  </si>
  <si>
    <t>274.0703.3000010480.000</t>
  </si>
  <si>
    <t>274.0703.3000010480.100</t>
  </si>
  <si>
    <t>274.0703.3000010480.110</t>
  </si>
  <si>
    <t>274.0703.3000010480.111</t>
  </si>
  <si>
    <t>274.0703.3000010480.119</t>
  </si>
  <si>
    <t>274.0709.3000000000.000</t>
  </si>
  <si>
    <t>274.0709.3000010470.000</t>
  </si>
  <si>
    <t>274.0709.3000010470.100</t>
  </si>
  <si>
    <t>274.0709.3000010470.110</t>
  </si>
  <si>
    <t>274.0709.3000010470.111</t>
  </si>
  <si>
    <t>274.0709.3000010470.119</t>
  </si>
  <si>
    <t>274.0709.3000010470.120</t>
  </si>
  <si>
    <t>274.0709.3000010470.121</t>
  </si>
  <si>
    <t>274.0709.3000010470.129</t>
  </si>
  <si>
    <t>278.0309.3000000000.000</t>
  </si>
  <si>
    <t>278.0309.3000010470.000</t>
  </si>
  <si>
    <t>278.0309.3000010470.100</t>
  </si>
  <si>
    <t>278.0309.3000010470.110</t>
  </si>
  <si>
    <t>278.0309.3000010470.111</t>
  </si>
  <si>
    <t>278.0309.3000010470.119</t>
  </si>
  <si>
    <t>278.0309.3000010470.120</t>
  </si>
  <si>
    <t>278.0309.3000010470.121</t>
  </si>
  <si>
    <t>278.0309.3000010470.129</t>
  </si>
  <si>
    <t>295.0106.3000010470.000</t>
  </si>
  <si>
    <t>295.0106.3000010470.100</t>
  </si>
  <si>
    <t>295.0106.3000010470.120</t>
  </si>
  <si>
    <t>295.0106.3000010470.121</t>
  </si>
  <si>
    <t>295.0106.3000010470.129</t>
  </si>
  <si>
    <t>295.1403.3000010470.000</t>
  </si>
  <si>
    <t>295.1403.3000010470.500</t>
  </si>
  <si>
    <t>295.1403.3000010470.540</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</si>
  <si>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</si>
  <si>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</si>
  <si>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</si>
  <si>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</si>
  <si>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</si>
  <si>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на реализацию федеральных целевых программ</t>
  </si>
  <si>
    <t>051</t>
  </si>
  <si>
    <t>Субсидии бюджетам муниципальных районов на реализацию федеральных целевых программ</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</si>
  <si>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</si>
  <si>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555</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</si>
  <si>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</si>
  <si>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спортивных школ олимпийского резерва, реализующих программы спортивной подготовки, по министерству финансов Красноярского края в рамках непрограммных расходов отдельных органов исполнительной власти</t>
  </si>
  <si>
    <t>1048</t>
  </si>
  <si>
    <t>Субсидии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государственной программы Красноярского края «Развитие транспортной системы»</t>
  </si>
  <si>
    <t>7492</t>
  </si>
  <si>
    <t>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</si>
  <si>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7508</t>
  </si>
  <si>
    <t>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</si>
  <si>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7509</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</si>
  <si>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</si>
  <si>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 xml:space="preserve"> Наименование показателя</t>
  </si>
  <si>
    <t>Единый сельскохозяйственный налог  (пени по соответствующему платежу)</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</si>
  <si>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</si>
  <si>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Плата за размещение отходов производства</t>
  </si>
  <si>
    <t>041</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</si>
  <si>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</si>
  <si>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</si>
  <si>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</si>
  <si>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</si>
  <si>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Предоставление иных межбюджетных трансфертов бюджетам сельских поселений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7 ст. 14 Федерального закона от 06.10.2003 №131-ФЗ «Об общих принципах организации местного самоуправления в Российской Федерации»</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</si>
  <si>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</si>
  <si>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231.0103.3000001060.123</t>
  </si>
  <si>
    <t>233.0502.3000000000.000</t>
  </si>
  <si>
    <t>Расходы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2017 год</t>
  </si>
  <si>
    <t>233.0502.3000074641.000</t>
  </si>
  <si>
    <t>233.0502.3000074641.800</t>
  </si>
  <si>
    <t>233.0502.3000074641.810</t>
  </si>
  <si>
    <t>240.0113.3000009820.000</t>
  </si>
  <si>
    <t>240.0113.3000009820.200</t>
  </si>
  <si>
    <t>240.0113.3000009820.240</t>
  </si>
  <si>
    <t>240.0113.3000009820.244</t>
  </si>
  <si>
    <t>Предоставление субсидий субъектам малого и среднего предпринимательства, занимающимся социально значимыми видами деятельности, на возмещение части затрат, связанных с началом предпринимательской деятельности и (или) приобретением основных средств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</si>
  <si>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</si>
  <si>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1043</t>
  </si>
  <si>
    <t>Субсидии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</si>
  <si>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2924</t>
  </si>
  <si>
    <t>Прочие местные налоги и сборы, мобилизуемые на территориях муниципальных районов (пени по соответствующему платежу)</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</si>
  <si>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</si>
  <si>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042</t>
  </si>
  <si>
    <t>201.0104.3000001060.300</t>
  </si>
  <si>
    <t>201.0104.3000001060.320</t>
  </si>
  <si>
    <t>201.0104.3000001060.321</t>
  </si>
  <si>
    <t>201.0104.3000001060.830</t>
  </si>
  <si>
    <t>201.0104.3000001060.831</t>
  </si>
  <si>
    <t>Расходы на повышение размеров оплаты труда отдельным категориям работников бюджетной сферы края по агенству молодежной политики и реализации программ общественного развития Красноярского края</t>
  </si>
  <si>
    <t>201.0707.3000010430.000</t>
  </si>
  <si>
    <t>201.0707.3000010430.100</t>
  </si>
  <si>
    <t>201.0707.3000010430.110</t>
  </si>
  <si>
    <t>201.0707.3000010430.111</t>
  </si>
  <si>
    <t>201.0707.3000010430.119</t>
  </si>
  <si>
    <t xml:space="preserve">Расходы на обеспечение мер социальной поддержки в части предоставления санаторно-курортного и восстановительного лечения в виде оплаты стоимости путевок в пределах края и республики Хакасия лицам из числа коренных малочисленных народов Севера, осуществляющим вид традиционной хозяйственной деятельности – оленеводство, и членам их семей </t>
  </si>
  <si>
    <t>201.1003.1100029240.000</t>
  </si>
  <si>
    <t>201.1003.1100029240.300</t>
  </si>
  <si>
    <t>201.1003.1100029240.320</t>
  </si>
  <si>
    <t>201.1003.1100029240.321</t>
  </si>
  <si>
    <t>Муниципальная программа Таймырского Долгано-Ненецкого муниципального района «Создание условий для развития сельскохозяйственного производства в Таймырском Долгано-Ненецком муниципальном районе»</t>
  </si>
  <si>
    <t>201.1003.1200000000.000</t>
  </si>
  <si>
    <t>Софинансирование расходов на предоставление социальных выплат гражданам, проживающим и работающим в сельской местности,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 на строительство или приобретение жилья в сельской местности</t>
  </si>
  <si>
    <t>201.1003.12000S4530.000</t>
  </si>
  <si>
    <t>201.1003.12000S4530.300</t>
  </si>
  <si>
    <t>201.1003.12000S4530.320</t>
  </si>
  <si>
    <t>201.1003.12000S4530.322</t>
  </si>
  <si>
    <t>208.0107.3000001030.800</t>
  </si>
  <si>
    <t>208.0107.3000001030.850</t>
  </si>
  <si>
    <t>208.0107.3000001030.853</t>
  </si>
  <si>
    <t>233.0412.0800000000.000</t>
  </si>
  <si>
    <t>233.0412.0810000000.000</t>
  </si>
  <si>
    <t>233.0412.08100S4660.000</t>
  </si>
  <si>
    <t>233.0412.08100S4660.200</t>
  </si>
  <si>
    <t>233.0412.08100S4660.240</t>
  </si>
  <si>
    <t>233.0412.08100S4660.244</t>
  </si>
  <si>
    <t>233.0412.3000009840.000</t>
  </si>
  <si>
    <t>233.0412.3000009840.200</t>
  </si>
  <si>
    <t>233.0412.3000009840.240</t>
  </si>
  <si>
    <t>233.0412.3000009840.244</t>
  </si>
  <si>
    <t>Другие вопросы в области жилищно-коммунального хозяйства</t>
  </si>
  <si>
    <t>233.0505.0000000000.000</t>
  </si>
  <si>
    <t>233.0505.3000000000.000</t>
  </si>
  <si>
    <t>233.0600.0000000000.000</t>
  </si>
  <si>
    <t>Охрана объектов растительного и животного мира и среды их обитания</t>
  </si>
  <si>
    <t>233.0603.0000000000.000</t>
  </si>
  <si>
    <t>233.0603.0800000000.000</t>
  </si>
  <si>
    <t>233.0701.0810002010.244</t>
  </si>
  <si>
    <t>256.1003.3000005210.200</t>
  </si>
  <si>
    <t>256.1003.3000005210.240</t>
  </si>
  <si>
    <t>256.1003.3000005210.244</t>
  </si>
  <si>
    <t>267.0400.0000000000.000</t>
  </si>
  <si>
    <t>267.0412.0000000000.000</t>
  </si>
  <si>
    <t>267.0412.3000000000.000</t>
  </si>
  <si>
    <t>Взносы в уставные фонды хозяйственных обществ, пакеты акций или доли в уставных капиталах которых находятся в муниципальной собственности Таймырского Долгано-Ненецкого муниципального района</t>
  </si>
  <si>
    <t>267.0412.3000009520.000</t>
  </si>
  <si>
    <t>267.0412.3000009520.800</t>
  </si>
  <si>
    <t>267.0412.3000009520.850</t>
  </si>
  <si>
    <t>267.0412.3000009520.853</t>
  </si>
  <si>
    <t>274.0709.3000009840.000</t>
  </si>
  <si>
    <t>274.0709.3000009840.400</t>
  </si>
  <si>
    <t>274.0709.3000009840.410</t>
  </si>
  <si>
    <t>274.0709.3000009840.412</t>
  </si>
  <si>
    <t>295.0106.3000001060.300</t>
  </si>
  <si>
    <t>295.0106.3000001060.320</t>
  </si>
  <si>
    <t>295.0106.3000001060.321</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</si>
  <si>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</si>
  <si>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</si>
  <si>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497</t>
  </si>
  <si>
    <t>1021</t>
  </si>
  <si>
    <t>Субсидии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</si>
  <si>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Субсидии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в рамках подпрограммы «Стимулирование жилищного строительства» государственной программы Красноярского края «Создание условий для обеспечения доступным и комфортным жильем граждан»</t>
  </si>
  <si>
    <t>7466</t>
  </si>
  <si>
    <t>Субсидии на приобретение и (или) монтаж комплексов по обезвреживанию отходов в рамках подпрограммы «Обращение с отходами» государственной программы Красноярского края «Охрана окружающей среды, воспроизводство природных ресурсов»</t>
  </si>
  <si>
    <t>Субсидии на создание условий для развития услуг связи в малочисленных и труднодоступных населенных пунктах края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</si>
  <si>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Субсидии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«Поддержка внедрения стандартов предоставления (оказания) муниципальных услуг и повышения качества жизни населения» государственной программы Красноярского края «Содействие развитию местного самоуправления»</t>
  </si>
  <si>
    <t>7571</t>
  </si>
  <si>
    <t>7599</t>
  </si>
  <si>
    <t>7645</t>
  </si>
  <si>
    <t>7840</t>
  </si>
  <si>
    <t>Прочие межбюджетные трансферты, передаваемые бюджетам</t>
  </si>
  <si>
    <t>Прочие межбюджетные трансферты, передаваемые бюджетам муниципальных районов</t>
  </si>
  <si>
    <t>Прочие межбюджетные трансферты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</si>
  <si>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49</t>
  </si>
  <si>
    <t>5519</t>
  </si>
  <si>
    <t>314</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</si>
  <si>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</si>
  <si>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Связь и информатика</t>
  </si>
  <si>
    <t>Расходы на создание условий для развития услуг связи в малочисленных и труднодоступных населенных пунктах Красноярского края</t>
  </si>
  <si>
    <t>Расходы на предоставление социальных выплат молодым семьям на приобретение (строительство) жилья</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</si>
  <si>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</si>
  <si>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</si>
  <si>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Расходы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</si>
  <si>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Расходы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</si>
  <si>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201.0410.0000000000.000</t>
  </si>
  <si>
    <t>201.0410.1000000000.000</t>
  </si>
  <si>
    <t>201.0410.10000S6450.000</t>
  </si>
  <si>
    <t>201.0410.10000S6450.200</t>
  </si>
  <si>
    <t>201.0410.10000S6450.240</t>
  </si>
  <si>
    <t>201.0410.10000S6450.244</t>
  </si>
  <si>
    <t>201.0707.0500074560.100</t>
  </si>
  <si>
    <t>201.0707.0500074560.110</t>
  </si>
  <si>
    <t>201.0707.0500074560.112</t>
  </si>
  <si>
    <t>201.1003.3000000000.000</t>
  </si>
  <si>
    <t>201.1003.30000R4970.000</t>
  </si>
  <si>
    <t>201.1003.30000R4970.300</t>
  </si>
  <si>
    <t>201.1003.30000R4970.320</t>
  </si>
  <si>
    <t>201.1003.30000R4970.322</t>
  </si>
  <si>
    <t>201.1101.3000010210.000</t>
  </si>
  <si>
    <t>201.1101.3000010210.600</t>
  </si>
  <si>
    <t>201.1101.3000010210.620</t>
  </si>
  <si>
    <t>201.1101.3000010210.621</t>
  </si>
  <si>
    <t>220.0113.3000059310.800</t>
  </si>
  <si>
    <t>220.0113.3000059310.850</t>
  </si>
  <si>
    <t>220.0113.3000059310.853</t>
  </si>
  <si>
    <t>233.0502.0820075700.811</t>
  </si>
  <si>
    <t>233.0502.0820075770.811</t>
  </si>
  <si>
    <t>233.0502.3000074641.811</t>
  </si>
  <si>
    <t>274.0701.0200002010.243</t>
  </si>
  <si>
    <t>274.0701.0200002010.830</t>
  </si>
  <si>
    <t>274.0701.0200002010.831</t>
  </si>
  <si>
    <t>274.0701.3000010210.000</t>
  </si>
  <si>
    <t>274.0701.3000010210.100</t>
  </si>
  <si>
    <t>274.0701.3000010210.110</t>
  </si>
  <si>
    <t>274.0701.3000010210.111</t>
  </si>
  <si>
    <t>274.0701.3000010210.119</t>
  </si>
  <si>
    <t>274.0702.02000S8400.000</t>
  </si>
  <si>
    <t>274.0702.02000S8400.200</t>
  </si>
  <si>
    <t>274.0702.02000S8400.240</t>
  </si>
  <si>
    <t>274.0702.02000S8400.243</t>
  </si>
  <si>
    <t>274.0702.3000010210.000</t>
  </si>
  <si>
    <t>274.0702.3000010210.100</t>
  </si>
  <si>
    <t>274.0702.3000010210.110</t>
  </si>
  <si>
    <t>274.0702.3000010210.111</t>
  </si>
  <si>
    <t>274.0702.3000010210.119</t>
  </si>
  <si>
    <t>274.0703.3000010210.000</t>
  </si>
  <si>
    <t>274.0703.3000010210.100</t>
  </si>
  <si>
    <t>274.0703.3000010210.110</t>
  </si>
  <si>
    <t>274.0703.3000010210.111</t>
  </si>
  <si>
    <t>274.0703.3000010210.119</t>
  </si>
  <si>
    <t>274.0709.0200002050.243</t>
  </si>
  <si>
    <t>274.0709.3000010210.000</t>
  </si>
  <si>
    <t>274.0709.3000010210.100</t>
  </si>
  <si>
    <t>274.0709.3000010210.110</t>
  </si>
  <si>
    <t>274.0709.3000010210.111</t>
  </si>
  <si>
    <t>274.0709.3000010210.119</t>
  </si>
  <si>
    <t>295.1403.3000010210.000</t>
  </si>
  <si>
    <t>295.1403.3000010210.500</t>
  </si>
  <si>
    <t>295.1403.3000010210.540</t>
  </si>
  <si>
    <t>ЗАДОЛЖЕННОСТЬ И ПЕРЕРАСЧЕТЫ ПО ОТМЕНЕННЫМ НАЛОГАМ, СБОРАМ И ИНЫМ ОБЯЗАТЕЛЬНЫМ ПЛАТЕЖАМ</t>
  </si>
  <si>
    <t>Прочие налоги и сборы (по отмененным местным налогам и сборам)</t>
  </si>
  <si>
    <t>Прочие местные налоги и сборы</t>
  </si>
  <si>
    <t>7398</t>
  </si>
  <si>
    <t>Субсидии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t>
  </si>
  <si>
    <t>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</si>
  <si>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7643</t>
  </si>
  <si>
    <t>7741</t>
  </si>
  <si>
    <t>Субсидии для реализации проектов по благоустройству территорий поселений, городских округов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</si>
  <si>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7607</t>
  </si>
  <si>
    <t>Субсидии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государственной программы Красноярского края «Развитие инвестиционной деятельности, малого и среднего предпринимательства»</t>
  </si>
  <si>
    <t>7418</t>
  </si>
  <si>
    <t>Субсидии на создание новых и поддержку действующих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</si>
  <si>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1031</t>
  </si>
  <si>
    <t>Субсидии на частичное финансирование (возмещение) расходов на 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</si>
  <si>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Субсидии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</si>
  <si>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</si>
  <si>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</si>
  <si>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201.0408.1010003010.811</t>
  </si>
  <si>
    <t>201.0408.1010003020.811</t>
  </si>
  <si>
    <t>Расходы на осуществление дорожной деятельности с привлечением внебюджетных источников за счет  средств дорожного фонда Красноярского края</t>
  </si>
  <si>
    <t>201.0412.1100028220.811</t>
  </si>
  <si>
    <t>201.0412.1100028230.811</t>
  </si>
  <si>
    <t>201.0412.1100075230.811</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</si>
  <si>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t>
  </si>
  <si>
    <t>201.0703.3000010310.000</t>
  </si>
  <si>
    <t>201.0703.3000010310.500</t>
  </si>
  <si>
    <t>201.0703.3000010310.540</t>
  </si>
  <si>
    <t>201.0801.3000010310.000</t>
  </si>
  <si>
    <t>201.0801.3000010310.500</t>
  </si>
  <si>
    <t>201.0801.3000010310.540</t>
  </si>
  <si>
    <t>Расходы на создание новых и поддержку действующих спортивных клубов по месту жительства</t>
  </si>
  <si>
    <t>201.1101.04000S4180.000</t>
  </si>
  <si>
    <t>201.1101.04000S4180.600</t>
  </si>
  <si>
    <t>201.1101.04000S4180.620</t>
  </si>
  <si>
    <t>201.1101.04000S4180.622</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</si>
  <si>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</si>
  <si>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201.1202.3000003050.813</t>
  </si>
  <si>
    <t>233.0412.3000009820.000</t>
  </si>
  <si>
    <t>233.0412.3000009820.200</t>
  </si>
  <si>
    <t>233.0412.3000009820.240</t>
  </si>
  <si>
    <t>233.0412.3000009820.244</t>
  </si>
  <si>
    <t>Расходы на реализацию проектов по благоустройству территорий поселений, городских округов</t>
  </si>
  <si>
    <t>240.0412.0700003090.811</t>
  </si>
  <si>
    <t>240.0412.0700003120.811</t>
  </si>
  <si>
    <t>240.0412.0700003130.811</t>
  </si>
  <si>
    <t>240.0412.0700003140.811</t>
  </si>
  <si>
    <t>Расходы на реализацию мероприятий, предусмотренных муниципальными программами развития субъектов малого и среднего предпринимательства</t>
  </si>
  <si>
    <t>240.0412.3000003060.811</t>
  </si>
  <si>
    <t>256.1003.3000006400.360</t>
  </si>
  <si>
    <t>274.0703.3000010310.000</t>
  </si>
  <si>
    <t>274.0703.3000010310.100</t>
  </si>
  <si>
    <t>274.0703.3000010310.110</t>
  </si>
  <si>
    <t>274.0703.3000010310.111</t>
  </si>
  <si>
    <t>274.0703.3000010310.119</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</si>
  <si>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</si>
  <si>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7000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</si>
  <si>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</si>
  <si>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201.0409.30000S4920.000</t>
  </si>
  <si>
    <t>201.0409.30000S4920.500</t>
  </si>
  <si>
    <t>201.0409.30000S4920.540</t>
  </si>
  <si>
    <t>201.0409.30000S5090.000</t>
  </si>
  <si>
    <t>201.0409.30000S5090.500</t>
  </si>
  <si>
    <t>201.0409.30000S5090.540</t>
  </si>
  <si>
    <t>201.0409.30000S6430.000</t>
  </si>
  <si>
    <t>201.0409.30000S6430.500</t>
  </si>
  <si>
    <t>201.0409.30000S6430.540</t>
  </si>
  <si>
    <t>Расходы на подготовку генеральных планов городских и сельских поселений, на разработку проектов планировки и межевания земельных участков для жилищного строительства, формирование и постановку земельных участков на кадастровый учет</t>
  </si>
  <si>
    <t>233.0503.30000S7410.000</t>
  </si>
  <si>
    <t>233.0503.30000S7410.500</t>
  </si>
  <si>
    <t>233.0503.30000S7410.540</t>
  </si>
  <si>
    <t>233.0505.30000S5710.000</t>
  </si>
  <si>
    <t>233.0505.30000S5710.500</t>
  </si>
  <si>
    <t>233.0505.30000S5710.540</t>
  </si>
  <si>
    <t>Расходы на приобретение и (или) монтаж комплексов по обезвреживанию отходов</t>
  </si>
  <si>
    <t>240.0412.07000S6070.000</t>
  </si>
  <si>
    <t>240.0412.07000S6070.800</t>
  </si>
  <si>
    <t>240.0412.07000S6070.810</t>
  </si>
  <si>
    <t>240.0412.07000S6070.811</t>
  </si>
  <si>
    <t xml:space="preserve">Расходы на обеспечение твердым топливом (углем), включая его доставку, граждан, проживающих на территории Таймырского Долгано-Ненецкого муниципального района в домах с печным отоплением, а также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проживающих на территории сельского поселения Хатанга, для отопления кочевого жилья (в соответствии с Законом края от 18 декабря 2008 года №7-2670) </t>
  </si>
  <si>
    <t>274.0702.0200002020.830</t>
  </si>
  <si>
    <t>274.0702.0200002020.831</t>
  </si>
  <si>
    <t xml:space="preserve">Расходы на проведение мероприятий, направленных на обеспечение безопасного участия детей в дорожном движении </t>
  </si>
  <si>
    <t>274.0702.02000S5630.244</t>
  </si>
  <si>
    <t>Заместитель руководителя - начальник отдела</t>
  </si>
  <si>
    <t>Е.М. Иванищева</t>
  </si>
  <si>
    <t>муниципальных доходов и управления внутренним долгом</t>
  </si>
  <si>
    <t>032</t>
  </si>
  <si>
    <t>208</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</si>
  <si>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</si>
  <si>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</si>
  <si>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201.0707.0500002080.853</t>
  </si>
  <si>
    <t>201.1003.1100075240.200</t>
  </si>
  <si>
    <t>201.1003.1100075240.240</t>
  </si>
  <si>
    <t>201.1003.1100075240.244</t>
  </si>
  <si>
    <t>256.1006.3000075130.800</t>
  </si>
  <si>
    <t>256.1006.3000075130.850</t>
  </si>
  <si>
    <t>256.1006.3000075130.853</t>
  </si>
  <si>
    <t>274.0709.0200001060.243</t>
  </si>
  <si>
    <t>1040</t>
  </si>
  <si>
    <t>Субсидии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</si>
  <si>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7745</t>
  </si>
  <si>
    <t>Прочие межбюджетные трансферты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</si>
  <si>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Расходы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t>
  </si>
  <si>
    <t>201.0102.3000010400.000</t>
  </si>
  <si>
    <t>201.0102.3000010400.100</t>
  </si>
  <si>
    <t>201.0102.3000010400.120</t>
  </si>
  <si>
    <t>201.0102.3000010400.121</t>
  </si>
  <si>
    <t>201.0102.3000010400.129</t>
  </si>
  <si>
    <t>201.0104.3000010400.000</t>
  </si>
  <si>
    <t>201.0104.3000010400.100</t>
  </si>
  <si>
    <t>201.0104.3000010400.120</t>
  </si>
  <si>
    <t>201.0104.3000010400.121</t>
  </si>
  <si>
    <t>201.0104.3000010400.129</t>
  </si>
  <si>
    <t>201.0408.3000010400.000</t>
  </si>
  <si>
    <t>201.0408.3000010400.100</t>
  </si>
  <si>
    <t>201.0408.3000010400.120</t>
  </si>
  <si>
    <t>201.0408.3000010400.121</t>
  </si>
  <si>
    <t>201.0408.3000010400.129</t>
  </si>
  <si>
    <t>201.0707.0500008110.800</t>
  </si>
  <si>
    <t>201.0707.0500008110.850</t>
  </si>
  <si>
    <t>201.0707.0500008110.853</t>
  </si>
  <si>
    <t>201.0801.3000007710.000</t>
  </si>
  <si>
    <t>201.0801.3000007710.200</t>
  </si>
  <si>
    <t>201.0801.3000007710.240</t>
  </si>
  <si>
    <t>201.0801.3000007710.244</t>
  </si>
  <si>
    <t>201.0804.3000010400.000</t>
  </si>
  <si>
    <t>201.0804.3000010400.100</t>
  </si>
  <si>
    <t>201.0804.3000010400.120</t>
  </si>
  <si>
    <t>201.0804.3000010400.121</t>
  </si>
  <si>
    <t>201.0804.3000010400.129</t>
  </si>
  <si>
    <t>201.1003.1100029240.323</t>
  </si>
  <si>
    <t>201.1105.3000010400.000</t>
  </si>
  <si>
    <t>201.1105.3000010400.100</t>
  </si>
  <si>
    <t>201.1105.3000010400.120</t>
  </si>
  <si>
    <t>201.1105.3000010400.121</t>
  </si>
  <si>
    <t>201.1105.3000010400.129</t>
  </si>
  <si>
    <t>208.0107.3000010400.000</t>
  </si>
  <si>
    <t>208.0107.3000010400.100</t>
  </si>
  <si>
    <t>208.0107.3000010400.120</t>
  </si>
  <si>
    <t>208.0107.3000010400.121</t>
  </si>
  <si>
    <t>208.0107.3000010400.129</t>
  </si>
  <si>
    <t>230.0106.3000010400.000</t>
  </si>
  <si>
    <t>230.0106.3000010400.100</t>
  </si>
  <si>
    <t>230.0106.3000010400.120</t>
  </si>
  <si>
    <t>230.0106.3000010400.121</t>
  </si>
  <si>
    <t>230.0106.3000010400.129</t>
  </si>
  <si>
    <t>231.0103.3000010400.000</t>
  </si>
  <si>
    <t>231.0103.3000010400.100</t>
  </si>
  <si>
    <t>231.0103.3000010400.120</t>
  </si>
  <si>
    <t>231.0103.3000010400.121</t>
  </si>
  <si>
    <t>231.0103.3000010400.129</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</si>
  <si>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t>
  </si>
  <si>
    <t>233.0113.0800010400.000</t>
  </si>
  <si>
    <t>233.0113.0800010400.100</t>
  </si>
  <si>
    <t>233.0113.0800010400.120</t>
  </si>
  <si>
    <t>233.0113.0800010400.121</t>
  </si>
  <si>
    <t>233.0113.0800010400.129</t>
  </si>
  <si>
    <t>Мероприятия по организации утилизации и переработки бытовых и промышленных отходов</t>
  </si>
  <si>
    <t>233.0603.0800008930.000</t>
  </si>
  <si>
    <t>233.0603.0800008930.800</t>
  </si>
  <si>
    <t>233.0603.0800008930.830</t>
  </si>
  <si>
    <t>233.0603.0800008930.831</t>
  </si>
  <si>
    <t>233.0603.0800008930.850</t>
  </si>
  <si>
    <t>233.0603.0800008930.853</t>
  </si>
  <si>
    <t>240.0113.3000010400.000</t>
  </si>
  <si>
    <t>240.0113.3000010400.100</t>
  </si>
  <si>
    <t>240.0113.3000010400.120</t>
  </si>
  <si>
    <t>240.0113.3000010400.121</t>
  </si>
  <si>
    <t>240.0113.3000010400.129</t>
  </si>
  <si>
    <t>267.0113.3000010400.000</t>
  </si>
  <si>
    <t>267.0113.3000010400.100</t>
  </si>
  <si>
    <t>267.0113.3000010400.120</t>
  </si>
  <si>
    <t>267.0113.3000010400.121</t>
  </si>
  <si>
    <t>267.0113.3000010400.129</t>
  </si>
  <si>
    <t>Расходы на содействие развитию налогового потенциала в муниципальном районе</t>
  </si>
  <si>
    <t>274.0702.30000S7450.000</t>
  </si>
  <si>
    <t>274.0702.30000S7450.200</t>
  </si>
  <si>
    <t>274.0702.30000S7450.240</t>
  </si>
  <si>
    <t>274.0702.30000S7450.244</t>
  </si>
  <si>
    <t>274.0709.3000010400.000</t>
  </si>
  <si>
    <t>274.0709.3000010400.100</t>
  </si>
  <si>
    <t>274.0709.3000010400.120</t>
  </si>
  <si>
    <t>274.0709.3000010400.121</t>
  </si>
  <si>
    <t>274.0709.3000010400.129</t>
  </si>
  <si>
    <t>278.0309.3000010400.000</t>
  </si>
  <si>
    <t>278.0309.3000010400.100</t>
  </si>
  <si>
    <t>278.0309.3000010400.120</t>
  </si>
  <si>
    <t>278.0309.3000010400.121</t>
  </si>
  <si>
    <t>278.0309.3000010400.129</t>
  </si>
  <si>
    <t>295.0106.3000010400.000</t>
  </si>
  <si>
    <t>295.0106.3000010400.100</t>
  </si>
  <si>
    <t>295.0106.3000010400.120</t>
  </si>
  <si>
    <t>295.0106.3000010400.121</t>
  </si>
  <si>
    <t>295.0106.3000010400.129</t>
  </si>
  <si>
    <t>295.0106.30000S7450.000</t>
  </si>
  <si>
    <t>295.0106.30000S7450.100</t>
  </si>
  <si>
    <t>295.0106.30000S7450.120</t>
  </si>
  <si>
    <t>295.0106.30000S7450.121</t>
  </si>
  <si>
    <t>295.0106.30000S7450.129</t>
  </si>
  <si>
    <t>295.1403.3000010400.000</t>
  </si>
  <si>
    <t>295.1403.3000010400.500</t>
  </si>
  <si>
    <t>295.1403.3000010400.540</t>
  </si>
  <si>
    <t>Прочие местные налоги и сборы, мобилизуемые на территориях муниципальных районов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</si>
  <si>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</si>
  <si>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300</t>
  </si>
  <si>
    <t>Плата по соглашениям об установлении сервитута в отношении земельных участков, государственная собственность на которые не разграничена</t>
  </si>
  <si>
    <t>310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</si>
  <si>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</si>
  <si>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</si>
  <si>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Субсидии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</si>
  <si>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7580</t>
  </si>
  <si>
    <t>Субвенции на выполнение федеральных полномочий за счет средств краевого бюджета по агентству записи актов гражданского состояния Красноярского края в рамках непрограммных расходов отдельных органов исполнительной власти</t>
  </si>
  <si>
    <t>0027</t>
  </si>
  <si>
    <t>Субвенции на финансирование расходов по социальному обслуживанию граждан, в том числе по предоставлению мер социальной поддержки работникам муниципальных учреждений социального обслуживания</t>
  </si>
  <si>
    <t>Субвенции на обеспечение лиц из числа коренных малочисленных народов Севера, осуществляющих традиционную хозяйственную деятельность (рыболовство, промысловая охота), медицинскими аптечками, содержащими лекарственные препараты и медицинские изделия,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</si>
  <si>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2820</t>
  </si>
  <si>
    <t>Субвенции на предоставление санаторно-курортного и восстановительного лечения в виде оплаты стоимости путевок в пределах края и Республики Хакасия лицам из числа коренных малочисленных народов Севера, осуществляющим вид традиционной хозяйственной деятельности - оленеводство, и членам их семей</t>
  </si>
  <si>
    <t>x</t>
  </si>
  <si>
    <t>201.0113.3000010210.000</t>
  </si>
  <si>
    <t>201.0113.3000010210.100</t>
  </si>
  <si>
    <t>201.0113.3000010210.110</t>
  </si>
  <si>
    <t>201.0113.3000010210.111</t>
  </si>
  <si>
    <t>201.0113.3000010210.119</t>
  </si>
  <si>
    <t>201.0412.3000000000.000</t>
  </si>
  <si>
    <t>201.0412.3000009840.000</t>
  </si>
  <si>
    <t>201.0412.3000009840.200</t>
  </si>
  <si>
    <t>201.0412.3000009840.240</t>
  </si>
  <si>
    <t>201.0412.3000009840.244</t>
  </si>
  <si>
    <t>201.0707.3000010210.000</t>
  </si>
  <si>
    <t>201.0707.3000010210.100</t>
  </si>
  <si>
    <t>201.0707.3000010210.110</t>
  </si>
  <si>
    <t>201.0707.3000010210.111</t>
  </si>
  <si>
    <t>201.0707.3000010210.119</t>
  </si>
  <si>
    <t>201.0801.03000L5190.000</t>
  </si>
  <si>
    <t>201.0801.03000L5190.500</t>
  </si>
  <si>
    <t>201.0801.03000L5190.540</t>
  </si>
  <si>
    <t>201.0801.03000R5190.000</t>
  </si>
  <si>
    <t>201.0801.03000R5190.500</t>
  </si>
  <si>
    <t>201.0801.03000R5190.540</t>
  </si>
  <si>
    <t>Расходы на обеспечение лиц из числа коренных малочисленных народов Севера, осуществляющих традиционную хозяйственную деятельность (рыболовство, промысловая охота), медицинскими аптечками, содержащими лекарственные препараты</t>
  </si>
  <si>
    <t>201.1003.1100028200.000</t>
  </si>
  <si>
    <t>201.1003.1100028200.300</t>
  </si>
  <si>
    <t>201.1003.1100028200.320</t>
  </si>
  <si>
    <t>201.1003.1100028200.323</t>
  </si>
  <si>
    <t>Расходы на выполнение федеральных полномочий за счет средств краевого бюджета</t>
  </si>
  <si>
    <t>220.0113.3000000270.000</t>
  </si>
  <si>
    <t>220.0113.3000000270.100</t>
  </si>
  <si>
    <t>220.0113.3000000270.120</t>
  </si>
  <si>
    <t>220.0113.3000000270.121</t>
  </si>
  <si>
    <t>220.0113.3000000270.129</t>
  </si>
  <si>
    <t>220.0113.3000001060.000</t>
  </si>
  <si>
    <t>220.0113.3000001060.100</t>
  </si>
  <si>
    <t>220.0113.3000001060.120</t>
  </si>
  <si>
    <t>220.0113.3000001060.121</t>
  </si>
  <si>
    <t>220.0113.3000001060.129</t>
  </si>
  <si>
    <t>231.0103.3000001060.800</t>
  </si>
  <si>
    <t>231.0103.3000001060.850</t>
  </si>
  <si>
    <t>231.0103.3000001060.853</t>
  </si>
  <si>
    <t>233.0406.0800000000.000</t>
  </si>
  <si>
    <t>Прочие расходы на решение вопросов местного значения</t>
  </si>
  <si>
    <t>233.0412.0810009840.000</t>
  </si>
  <si>
    <t>233.0412.0810009840.200</t>
  </si>
  <si>
    <t>233.0412.0810009840.240</t>
  </si>
  <si>
    <t>233.0412.0810009840.244</t>
  </si>
  <si>
    <t>233.0412.0810009840.400</t>
  </si>
  <si>
    <t>233.0412.0810009840.410</t>
  </si>
  <si>
    <t>233.0412.0810009840.414</t>
  </si>
  <si>
    <t>Расходы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</si>
  <si>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233.0502.30000S5800.000</t>
  </si>
  <si>
    <t>233.0502.30000S5800.500</t>
  </si>
  <si>
    <t>233.0502.30000S5800.540</t>
  </si>
  <si>
    <t>233.0503.0800000000.000</t>
  </si>
  <si>
    <t>233.0503.08000L5550.000</t>
  </si>
  <si>
    <t>233.0503.08000L5550.500</t>
  </si>
  <si>
    <t>233.0503.08000L5550.540</t>
  </si>
  <si>
    <t>233.0605.0000000000.000</t>
  </si>
  <si>
    <t>233.0605.0800000000.000</t>
  </si>
  <si>
    <t>233.0605.08000S5990.000</t>
  </si>
  <si>
    <t>233.0605.08000S5990.200</t>
  </si>
  <si>
    <t>233.0605.08000S5990.240</t>
  </si>
  <si>
    <t>233.0605.08000S5990.244</t>
  </si>
  <si>
    <t>233.0702.0810002030.200</t>
  </si>
  <si>
    <t>233.0702.0810002030.240</t>
  </si>
  <si>
    <t>233.0702.0810002030.243</t>
  </si>
  <si>
    <t>256.1003.0200000000.000</t>
  </si>
  <si>
    <t>256.1003.0200005290.000</t>
  </si>
  <si>
    <t>256.1003.0200005290.200</t>
  </si>
  <si>
    <t>256.1003.0200005290.240</t>
  </si>
  <si>
    <t>256.1003.0200005290.244</t>
  </si>
  <si>
    <t>256.1004.0000000000.000</t>
  </si>
  <si>
    <t>256.1004.0200000000.000</t>
  </si>
  <si>
    <t>256.1004.0200075560.000</t>
  </si>
  <si>
    <t>256.1004.0200075560.200</t>
  </si>
  <si>
    <t>256.1004.0200075560.240</t>
  </si>
  <si>
    <t>256.1004.0200075560.244</t>
  </si>
  <si>
    <t>256.1004.0200075560.300</t>
  </si>
  <si>
    <t>256.1004.0200075560.320</t>
  </si>
  <si>
    <t>256.1004.0200075560.321</t>
  </si>
  <si>
    <t>267.0113.3000009840.200</t>
  </si>
  <si>
    <t>267.0113.3000009840.240</t>
  </si>
  <si>
    <t>267.0113.3000009840.244</t>
  </si>
  <si>
    <t>274.0701.3000010210.600</t>
  </si>
  <si>
    <t>274.0701.3000010210.610</t>
  </si>
  <si>
    <t>274.0701.3000010210.612</t>
  </si>
  <si>
    <t>274.0707.0200076490.300</t>
  </si>
  <si>
    <t>274.0707.0200076490.320</t>
  </si>
  <si>
    <t>274.0707.0200076490.321</t>
  </si>
  <si>
    <t>274.1100.0000000000.000</t>
  </si>
  <si>
    <t>274.1101.0000000000.000</t>
  </si>
  <si>
    <t>274.1101.0200000000.000</t>
  </si>
  <si>
    <t>274.1101.0200002040.000</t>
  </si>
  <si>
    <t>274.1101.0200002040.100</t>
  </si>
  <si>
    <t>274.1101.0200002040.110</t>
  </si>
  <si>
    <t>274.1101.0200002040.111</t>
  </si>
  <si>
    <t>274.1101.0200002040.119</t>
  </si>
  <si>
    <t>278.0309.3000010210.000</t>
  </si>
  <si>
    <t>278.0309.3000010210.100</t>
  </si>
  <si>
    <t>278.0309.3000010210.110</t>
  </si>
  <si>
    <t>278.0309.3000010210.111</t>
  </si>
  <si>
    <t>278.0309.3000010210.119</t>
  </si>
  <si>
    <t>Начальник управления</t>
  </si>
  <si>
    <t>А.Н. Заднепровская</t>
  </si>
  <si>
    <t>В.А. Алексеенко</t>
  </si>
  <si>
    <t>Начальник отдела учета исполнения бюджета</t>
  </si>
  <si>
    <t>И.П. Берзинь</t>
  </si>
  <si>
    <t>на 1 января 2019 г.</t>
  </si>
  <si>
    <t>01.01.2019</t>
  </si>
  <si>
    <t>Расходы на мероприятия в области обеспечения капитального ремонта, реконструкции и строительства гидротехнических сооружений</t>
  </si>
  <si>
    <t>233.0406.08000L016Б.000</t>
  </si>
  <si>
    <t>233.0406.08000L016Б.200</t>
  </si>
  <si>
    <t>233.0406.08000L016Б.240</t>
  </si>
  <si>
    <t>233.0406.08000L016Б.243</t>
  </si>
  <si>
    <t>233.0406.08000L016Б.500</t>
  </si>
  <si>
    <t>233.0406.08000L016Б.540</t>
  </si>
  <si>
    <t>233.0502.30000S5800.800</t>
  </si>
  <si>
    <t>233.0502.30000S5800.810</t>
  </si>
  <si>
    <t>233.0502.30000S5800.811</t>
  </si>
  <si>
    <t>Иные выплаты, за исключением фонда оплаты труда учреждений, лицам, привлекаемым согласно законодательству для выполнения отдельных полномочий</t>
  </si>
  <si>
    <t>274.0702.0200002020.113</t>
  </si>
  <si>
    <t>274.0702.0200002030.113</t>
  </si>
  <si>
    <t>274.0702.0200007320.100</t>
  </si>
  <si>
    <t>274.0702.0200007320.110</t>
  </si>
  <si>
    <t>274.0702.0200007320.113</t>
  </si>
  <si>
    <t>274.0702.0200007330.113</t>
  </si>
  <si>
    <t>274.0702.0200075640.113</t>
  </si>
  <si>
    <t>274.0703.0200002040.113</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</si>
</sst>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_-#,##0&quot;р.&quot;;* \-#,##0&quot;р.&quot;;* _-&quot;-&quot;&quot;р.&quot;;@"/>
    <numFmt numFmtId="173" formatCode="* #,##0;* \-#,##0;* &quot;-&quot;;@"/>
    <numFmt numFmtId="174" formatCode="* _-#,##0.00&quot;р.&quot;;* \-#,##0.00&quot;р.&quot;;* _-&quot;-&quot;??&quot;р.&quot;;@"/>
    <numFmt numFmtId="175" formatCode="* #,##0.00;* \-#,##0.00;* &quot;-&quot;??;@"/>
    <numFmt numFmtId="176" formatCode="\$#,##0_);\(\$#,##0\)"/>
    <numFmt numFmtId="177" formatCode="\$#,##0_);[Red]\(\$#,##0\)"/>
    <numFmt numFmtId="178" formatCode="\$#,##0.00_);\(\$#,##0.00\)"/>
    <numFmt numFmtId="179" formatCode="\$#,##0.00_);[Red]\(\$#,##0.00\)"/>
    <numFmt numFmtId="180" formatCode="000"/>
    <numFmt numFmtId="181" formatCode="#,##0.00;[Red]\-#,##0.00;\-"/>
    <numFmt numFmtId="182" formatCode="#,##0.00;[Red]\-#,##0.00;"/>
    <numFmt numFmtId="183" formatCode="0000"/>
    <numFmt numFmtId="184" formatCode="0000000"/>
    <numFmt numFmtId="185" formatCode="#,##0.00_ ;[Red]\-#,##0.00\ "/>
    <numFmt numFmtId="186" formatCode="0.000"/>
    <numFmt numFmtId="187" formatCode="[$-FC19]d\ mmmm\ yyyy\ &quot;г.&quot;"/>
    <numFmt numFmtId="188" formatCode="00\.00;&quot;&quot;;&quot;&quot;"/>
    <numFmt numFmtId="189" formatCode="000;&quot;&quot;;&quot;&quot;"/>
    <numFmt numFmtId="190" formatCode="#,##0.00;[Red]\-#,##0.00;0.00"/>
    <numFmt numFmtId="191" formatCode="000\.00\.00;&quot;&quot;;&quot;&quot;"/>
    <numFmt numFmtId="192" formatCode="0.0%"/>
    <numFmt numFmtId="193" formatCode="#,##0_ ;[Red]\-#,##0\ "/>
    <numFmt numFmtId="194" formatCode="0.000%"/>
    <numFmt numFmtId="195" formatCode="0.0000%"/>
    <numFmt numFmtId="196" formatCode="#,##0.000"/>
    <numFmt numFmtId="197" formatCode="#,##0.0000"/>
    <numFmt numFmtId="198" formatCode="#,##0.0"/>
    <numFmt numFmtId="199" formatCode="0.00_ ;[Red]\-0.00\ "/>
    <numFmt numFmtId="200" formatCode="#,##0.0_ ;[Red]\-#,##0.0\ "/>
    <numFmt numFmtId="201" formatCode="#,##0.000_ ;[Red]\-#,##0.000\ "/>
    <numFmt numFmtId="202" formatCode="&quot;Да&quot;;&quot;Да&quot;;&quot;Нет&quot;"/>
    <numFmt numFmtId="203" formatCode="&quot;Истина&quot;;&quot;Истина&quot;;&quot;Ложь&quot;"/>
    <numFmt numFmtId="204" formatCode="&quot;Вкл&quot;;&quot;Вкл&quot;;&quot;Выкл&quot;"/>
    <numFmt numFmtId="205" formatCode="#,##0.0000_ ;[Red]\-#,##0.0000\ "/>
    <numFmt numFmtId="206" formatCode="#,##0.00000_ ;[Red]\-#,##0.00000\ "/>
    <numFmt numFmtId="207" formatCode="[$€-2]\ ###,000_);[Red]\([$€-2]\ ###,000\)"/>
    <numFmt numFmtId="208" formatCode="#,##0.00;[Red]\-#,##0.00;\ "/>
    <numFmt numFmtId="209" formatCode="#,##0.00;[Red]#,##0.00"/>
    <numFmt numFmtId="210" formatCode="00.0.0000"/>
    <numFmt numFmtId="211" formatCode="0\.00\.00000\.00\.0000\.000"/>
    <numFmt numFmtId="212" formatCode="\&gt;aaa"/>
    <numFmt numFmtId="213" formatCode="\&gt;\A\A\.\A\.aaaa"/>
    <numFmt numFmtId="214" formatCode="\&gt;\A\A\.\A\A"/>
    <numFmt numFmtId="215" formatCode="00\.00\.00\.00\.00\.0000\.000"/>
    <numFmt numFmtId="216" formatCode="000;000;000"/>
  </numFmts>
  <fonts count="32">
    <font>
      <sz val="10"/>
      <name val="Arial Cyr"/>
      <family val="0"/>
    </font>
    <font>
      <sz val="10"/>
      <name val="Arial"/>
      <family val="2"/>
    </font>
    <font>
      <sz val="8"/>
      <name val="Arial"/>
      <family val="2"/>
    </font>
    <font>
      <sz val="8"/>
      <name val="Arial Cyr"/>
      <family val="0"/>
    </font>
    <font>
      <b/>
      <sz val="8"/>
      <name val="Arial"/>
      <family val="2"/>
    </font>
    <font>
      <sz val="10"/>
      <name val="Helv"/>
      <family val="0"/>
    </font>
    <font>
      <sz val="12"/>
      <name val="Arial"/>
      <family val="2"/>
    </font>
    <font>
      <sz val="8"/>
      <name val="Times New Roman"/>
      <family val="1"/>
    </font>
    <font>
      <b/>
      <sz val="12"/>
      <name val="Arial"/>
      <family val="2"/>
    </font>
    <font>
      <sz val="10"/>
      <name val="Times New Roman"/>
      <family val="1"/>
    </font>
    <font>
      <sz val="11"/>
      <color indexed="63"/>
      <name val="Calibri"/>
      <family val="2"/>
    </font>
    <font>
      <sz val="11"/>
      <color indexed="9"/>
      <name val="Calibri"/>
      <family val="2"/>
    </font>
    <font>
      <sz val="11"/>
      <color indexed="18"/>
      <name val="Calibri"/>
      <family val="2"/>
    </font>
    <font>
      <b/>
      <sz val="11"/>
      <color indexed="63"/>
      <name val="Calibri"/>
      <family val="2"/>
    </font>
    <font>
      <b/>
      <sz val="11"/>
      <color indexed="52"/>
      <name val="Calibri"/>
      <family val="2"/>
    </font>
    <font>
      <u val="single"/>
      <sz val="6.8"/>
      <color indexed="12"/>
      <name val="Times New Roman"/>
      <family val="1"/>
    </font>
    <font>
      <b/>
      <sz val="15"/>
      <color indexed="18"/>
      <name val="Calibri"/>
      <family val="2"/>
    </font>
    <font>
      <b/>
      <sz val="13"/>
      <color indexed="18"/>
      <name val="Calibri"/>
      <family val="2"/>
    </font>
    <font>
      <b/>
      <sz val="11"/>
      <color indexed="18"/>
      <name val="Calibri"/>
      <family val="2"/>
    </font>
    <font>
      <b/>
      <sz val="11"/>
      <color indexed="9"/>
      <name val="Calibri"/>
      <family val="2"/>
    </font>
    <font>
      <b/>
      <sz val="18"/>
      <color indexed="18"/>
      <name val="Cambria"/>
      <family val="2"/>
    </font>
    <font>
      <sz val="11"/>
      <color indexed="19"/>
      <name val="Calibri"/>
      <family val="2"/>
    </font>
    <font>
      <u val="single"/>
      <sz val="6.8"/>
      <color indexed="36"/>
      <name val="Times New Roman"/>
      <family val="1"/>
    </font>
    <font>
      <sz val="11"/>
      <color indexed="8"/>
      <name val="Calibri"/>
      <family val="2"/>
    </font>
    <font>
      <i/>
      <sz val="11"/>
      <color indexed="23"/>
      <name val="Calibri"/>
      <family val="2"/>
    </font>
    <font>
      <sz val="11"/>
      <color indexed="52"/>
      <name val="Calibri"/>
      <family val="2"/>
    </font>
    <font>
      <sz val="11"/>
      <color indexed="10"/>
      <name val="Calibri"/>
      <family val="2"/>
    </font>
    <font>
      <sz val="11"/>
      <color indexed="58"/>
      <name val="Calibri"/>
      <family val="2"/>
    </font>
    <font>
      <b/>
      <sz val="10"/>
      <name val="Arial"/>
      <family val="2"/>
    </font>
    <font>
      <i/>
      <sz val="8"/>
      <name val="Arial"/>
      <family val="2"/>
    </font>
    <font>
      <sz val="8"/>
      <name val="Tahoma"/>
      <family val="2"/>
    </font>
    <font>
      <sz val="11"/>
      <color theme="1"/>
      <name val="Calibri"/>
      <family val="2"/>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48"/>
        <bgColor indexed="64"/>
      </patternFill>
    </fill>
    <fill>
      <patternFill patternType="solid">
        <fgColor indexed="51"/>
        <bgColor indexed="64"/>
      </patternFill>
    </fill>
    <fill>
      <patternFill patternType="solid">
        <fgColor indexed="49"/>
        <bgColor indexed="64"/>
      </patternFill>
    </fill>
    <fill>
      <patternFill patternType="solid">
        <fgColor indexed="29"/>
        <bgColor indexed="64"/>
      </patternFill>
    </fill>
    <fill>
      <patternFill patternType="solid">
        <fgColor indexed="12"/>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12"/>
      </bottom>
    </border>
    <border>
      <left>
        <color indexed="63"/>
      </left>
      <right>
        <color indexed="63"/>
      </right>
      <top>
        <color indexed="63"/>
      </top>
      <bottom style="thick">
        <color indexed="40"/>
      </bottom>
    </border>
    <border>
      <left>
        <color indexed="63"/>
      </left>
      <right>
        <color indexed="63"/>
      </right>
      <top>
        <color indexed="63"/>
      </top>
      <bottom style="medium">
        <color indexed="48"/>
      </bottom>
    </border>
    <border>
      <left>
        <color indexed="63"/>
      </left>
      <right>
        <color indexed="63"/>
      </right>
      <top style="thin">
        <color indexed="12"/>
      </top>
      <bottom style="double">
        <color indexed="12"/>
      </bottom>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border>
    <border>
      <left style="thin"/>
      <right/>
      <top style="thin"/>
      <bottom/>
    </border>
    <border>
      <left/>
      <right/>
      <top style="thin"/>
      <bottom/>
    </border>
  </borders>
  <cellStyleXfs count="2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3" fillId="0" borderId="0">
      <alignment/>
      <protection/>
    </xf>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2" fillId="11" borderId="1" applyNumberFormat="0" applyAlignment="0" applyProtection="0"/>
    <xf numFmtId="0" fontId="13" fillId="16" borderId="2" applyNumberFormat="0" applyAlignment="0" applyProtection="0"/>
    <xf numFmtId="0" fontId="14" fillId="16" borderId="1" applyNumberFormat="0" applyAlignment="0" applyProtection="0"/>
    <xf numFmtId="0" fontId="1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3" fillId="0" borderId="6" applyNumberFormat="0" applyFill="0" applyAlignment="0" applyProtection="0"/>
    <xf numFmtId="0" fontId="19" fillId="17" borderId="7" applyNumberFormat="0" applyAlignment="0" applyProtection="0"/>
    <xf numFmtId="0" fontId="20" fillId="0" borderId="0" applyNumberFormat="0" applyFill="0" applyBorder="0" applyAlignment="0" applyProtection="0"/>
    <xf numFmtId="0" fontId="21" fillId="6"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7" fillId="0" borderId="0">
      <alignment/>
      <protection/>
    </xf>
    <xf numFmtId="0" fontId="3"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23" fillId="18" borderId="0" applyNumberFormat="0" applyBorder="0" applyAlignment="0" applyProtection="0"/>
    <xf numFmtId="0" fontId="24" fillId="0" borderId="0" applyNumberFormat="0" applyFill="0" applyBorder="0" applyAlignment="0" applyProtection="0"/>
    <xf numFmtId="0" fontId="0" fillId="6"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5" fillId="0" borderId="0">
      <alignment/>
      <protection/>
    </xf>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27" fillId="4" borderId="0" applyNumberFormat="0" applyBorder="0" applyAlignment="0" applyProtection="0"/>
  </cellStyleXfs>
  <cellXfs count="387">
    <xf numFmtId="0" fontId="0" fillId="0" borderId="0" xfId="0" applyAlignment="1">
      <alignment/>
    </xf>
    <xf numFmtId="4" fontId="2" fillId="0" borderId="0" xfId="0" applyNumberFormat="1" applyFont="1" applyFill="1" applyAlignment="1">
      <alignment/>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2" fillId="0" borderId="0" xfId="0" applyFont="1" applyFill="1" applyAlignment="1">
      <alignment horizontal="right"/>
    </xf>
    <xf numFmtId="0" fontId="4" fillId="0" borderId="0" xfId="0" applyFont="1" applyFill="1" applyAlignment="1">
      <alignment horizontal="right"/>
    </xf>
    <xf numFmtId="0" fontId="2" fillId="0" borderId="0" xfId="0" applyFont="1" applyFill="1" applyAlignment="1" applyProtection="1">
      <alignment horizontal="left"/>
      <protection hidden="1"/>
    </xf>
    <xf numFmtId="4" fontId="2" fillId="0" borderId="0" xfId="0" applyNumberFormat="1" applyFont="1" applyFill="1" applyBorder="1" applyAlignment="1">
      <alignment/>
    </xf>
    <xf numFmtId="0" fontId="2" fillId="0" borderId="0" xfId="0" applyFont="1" applyFill="1" applyBorder="1" applyAlignment="1">
      <alignment/>
    </xf>
    <xf numFmtId="0" fontId="6" fillId="0" borderId="0" xfId="0" applyFont="1" applyFill="1" applyBorder="1" applyAlignment="1">
      <alignment/>
    </xf>
    <xf numFmtId="0" fontId="2" fillId="0" borderId="0" xfId="0" applyFont="1" applyFill="1" applyAlignment="1" applyProtection="1">
      <alignment/>
      <protection hidden="1"/>
    </xf>
    <xf numFmtId="0" fontId="8" fillId="0" borderId="0" xfId="0" applyFont="1" applyFill="1" applyBorder="1" applyAlignment="1">
      <alignment/>
    </xf>
    <xf numFmtId="49" fontId="2" fillId="0" borderId="0" xfId="0" applyNumberFormat="1" applyFont="1" applyFill="1" applyAlignment="1">
      <alignment horizontal="center"/>
    </xf>
    <xf numFmtId="2" fontId="2" fillId="0" borderId="10" xfId="232" applyNumberFormat="1" applyFont="1" applyFill="1" applyBorder="1" applyAlignment="1">
      <alignment horizontal="left" vertical="center" wrapText="1" indent="3"/>
      <protection/>
    </xf>
    <xf numFmtId="49" fontId="2" fillId="0" borderId="0" xfId="232" applyNumberFormat="1" applyFont="1" applyFill="1" applyBorder="1" applyAlignment="1">
      <alignment horizontal="center" vertical="center" wrapText="1"/>
      <protection/>
    </xf>
    <xf numFmtId="2" fontId="2" fillId="0" borderId="0" xfId="244"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4" fontId="2"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49" fontId="4" fillId="0" borderId="11" xfId="232" applyNumberFormat="1" applyFont="1" applyFill="1" applyBorder="1" applyAlignment="1">
      <alignment horizontal="center" vertical="center" wrapText="1"/>
      <protection/>
    </xf>
    <xf numFmtId="49" fontId="4" fillId="0" borderId="12" xfId="232" applyNumberFormat="1" applyFont="1" applyFill="1" applyBorder="1" applyAlignment="1">
      <alignment horizontal="center" vertical="center" wrapText="1"/>
      <protection/>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231" applyNumberFormat="1" applyFont="1" applyFill="1" applyBorder="1" applyAlignment="1">
      <alignment horizontal="justify" vertical="center" wrapText="1"/>
      <protection/>
    </xf>
    <xf numFmtId="49" fontId="2" fillId="0" borderId="0" xfId="231" applyNumberFormat="1" applyFont="1" applyFill="1" applyBorder="1" applyAlignment="1">
      <alignment horizontal="center" vertical="center" wrapText="1"/>
      <protection/>
    </xf>
    <xf numFmtId="49" fontId="2" fillId="0" borderId="0" xfId="227" applyNumberFormat="1" applyFont="1" applyFill="1" applyBorder="1" applyAlignment="1">
      <alignment horizontal="center" vertical="center"/>
      <protection/>
    </xf>
    <xf numFmtId="4" fontId="2" fillId="0" borderId="0" xfId="0" applyNumberFormat="1" applyFont="1" applyFill="1" applyBorder="1" applyAlignment="1">
      <alignment horizontal="right"/>
    </xf>
    <xf numFmtId="4" fontId="4" fillId="0" borderId="0" xfId="0" applyNumberFormat="1" applyFont="1" applyFill="1" applyBorder="1" applyAlignment="1">
      <alignment horizontal="right" vertical="center" wrapText="1"/>
    </xf>
    <xf numFmtId="2" fontId="2" fillId="0" borderId="0" xfId="232" applyNumberFormat="1" applyFont="1" applyFill="1" applyBorder="1" applyAlignment="1">
      <alignment horizontal="left" vertical="center" wrapText="1"/>
      <protection/>
    </xf>
    <xf numFmtId="2" fontId="2" fillId="0" borderId="0" xfId="244" applyNumberFormat="1" applyFont="1" applyFill="1" applyBorder="1" applyAlignment="1">
      <alignment horizontal="center" vertical="center" wrapText="1"/>
    </xf>
    <xf numFmtId="4" fontId="2" fillId="0" borderId="0" xfId="232" applyNumberFormat="1" applyFont="1" applyFill="1" applyBorder="1" applyAlignment="1">
      <alignment horizontal="right" vertical="center" wrapText="1"/>
      <protection/>
    </xf>
    <xf numFmtId="4" fontId="2" fillId="0" borderId="0" xfId="0" applyNumberFormat="1" applyFont="1" applyFill="1" applyBorder="1" applyAlignment="1">
      <alignment horizontal="right" vertical="center" wrapText="1"/>
    </xf>
    <xf numFmtId="49" fontId="2" fillId="0" borderId="0" xfId="227" applyNumberFormat="1" applyFont="1" applyFill="1" applyBorder="1" applyAlignment="1">
      <alignment horizontal="center" vertical="center" wrapText="1"/>
      <protection/>
    </xf>
    <xf numFmtId="185" fontId="2" fillId="0" borderId="0" xfId="241" applyNumberFormat="1" applyFont="1" applyFill="1" applyBorder="1" applyAlignment="1">
      <alignment horizontal="right" vertical="center"/>
    </xf>
    <xf numFmtId="49" fontId="2" fillId="0" borderId="0" xfId="230" applyNumberFormat="1" applyFont="1" applyFill="1" applyBorder="1" applyAlignment="1">
      <alignment horizontal="center" vertical="center" wrapText="1"/>
      <protection/>
    </xf>
    <xf numFmtId="0" fontId="2" fillId="0" borderId="0" xfId="230" applyFont="1" applyFill="1" applyBorder="1" applyAlignment="1">
      <alignment horizontal="justify" vertical="center" wrapText="1"/>
      <protection/>
    </xf>
    <xf numFmtId="185" fontId="4" fillId="0" borderId="0" xfId="241" applyNumberFormat="1" applyFont="1" applyFill="1" applyBorder="1" applyAlignment="1">
      <alignment horizontal="right" vertical="center"/>
    </xf>
    <xf numFmtId="0" fontId="2" fillId="0" borderId="0" xfId="227" applyNumberFormat="1" applyFont="1" applyFill="1" applyBorder="1" applyAlignment="1">
      <alignment horizontal="justify" vertical="center" wrapText="1"/>
      <protection/>
    </xf>
    <xf numFmtId="0" fontId="2" fillId="0" borderId="0" xfId="0" applyNumberFormat="1" applyFont="1" applyFill="1" applyBorder="1" applyAlignment="1">
      <alignment horizontal="justify" vertical="center" wrapText="1"/>
    </xf>
    <xf numFmtId="49" fontId="2" fillId="0" borderId="0" xfId="0" applyNumberFormat="1" applyFont="1" applyFill="1" applyBorder="1" applyAlignment="1">
      <alignment horizontal="center" vertical="center" wrapText="1"/>
    </xf>
    <xf numFmtId="185" fontId="2" fillId="0" borderId="0" xfId="0" applyNumberFormat="1" applyFont="1" applyFill="1" applyAlignment="1">
      <alignment/>
    </xf>
    <xf numFmtId="185" fontId="4" fillId="4" borderId="0" xfId="241" applyNumberFormat="1" applyFont="1" applyFill="1" applyBorder="1" applyAlignment="1">
      <alignment horizontal="right" vertical="center"/>
    </xf>
    <xf numFmtId="185" fontId="2" fillId="4" borderId="0" xfId="241" applyNumberFormat="1" applyFont="1" applyFill="1" applyBorder="1" applyAlignment="1">
      <alignment horizontal="right" vertical="center"/>
    </xf>
    <xf numFmtId="185" fontId="4" fillId="4" borderId="11" xfId="232" applyNumberFormat="1" applyFont="1" applyFill="1" applyBorder="1" applyAlignment="1">
      <alignment horizontal="right" vertical="center" wrapText="1"/>
      <protection/>
    </xf>
    <xf numFmtId="0" fontId="2" fillId="0" borderId="0" xfId="221" applyFont="1" applyBorder="1" applyAlignment="1" applyProtection="1">
      <alignment/>
      <protection hidden="1"/>
    </xf>
    <xf numFmtId="0" fontId="2" fillId="0" borderId="0" xfId="221" applyFont="1" applyBorder="1" applyAlignment="1" applyProtection="1">
      <alignment horizontal="left" wrapText="1"/>
      <protection hidden="1"/>
    </xf>
    <xf numFmtId="0" fontId="2" fillId="0" borderId="0" xfId="221" applyFont="1" applyFill="1" applyAlignment="1" applyProtection="1">
      <alignment horizontal="left" wrapText="1"/>
      <protection hidden="1"/>
    </xf>
    <xf numFmtId="2" fontId="2" fillId="0" borderId="13" xfId="232" applyNumberFormat="1" applyFont="1" applyFill="1" applyBorder="1" applyAlignment="1">
      <alignment horizontal="left" vertical="center" wrapText="1"/>
      <protection/>
    </xf>
    <xf numFmtId="49" fontId="2" fillId="0" borderId="13" xfId="232" applyNumberFormat="1" applyFont="1" applyFill="1" applyBorder="1" applyAlignment="1">
      <alignment horizontal="center" vertical="center" wrapText="1"/>
      <protection/>
    </xf>
    <xf numFmtId="49" fontId="2" fillId="0" borderId="14" xfId="232" applyNumberFormat="1" applyFont="1" applyFill="1" applyBorder="1" applyAlignment="1">
      <alignment horizontal="center" vertical="center" wrapText="1"/>
      <protection/>
    </xf>
    <xf numFmtId="2" fontId="2" fillId="0" borderId="10" xfId="244" applyNumberFormat="1" applyFont="1" applyFill="1" applyBorder="1" applyAlignment="1">
      <alignment horizontal="center" vertical="center" wrapText="1"/>
    </xf>
    <xf numFmtId="2" fontId="2" fillId="0" borderId="15" xfId="244" applyNumberFormat="1" applyFont="1" applyFill="1" applyBorder="1" applyAlignment="1">
      <alignment horizontal="center" vertical="center" wrapText="1"/>
    </xf>
    <xf numFmtId="49" fontId="2" fillId="0" borderId="16" xfId="232" applyNumberFormat="1" applyFont="1" applyFill="1" applyBorder="1" applyAlignment="1">
      <alignment horizontal="center" vertical="center" wrapText="1"/>
      <protection/>
    </xf>
    <xf numFmtId="0" fontId="1" fillId="0" borderId="0" xfId="220" applyNumberFormat="1" applyFont="1" applyFill="1" applyAlignment="1" applyProtection="1">
      <alignment/>
      <protection hidden="1"/>
    </xf>
    <xf numFmtId="0" fontId="2" fillId="0" borderId="0" xfId="220" applyNumberFormat="1" applyFont="1" applyFill="1" applyAlignment="1" applyProtection="1">
      <alignment horizontal="right"/>
      <protection hidden="1"/>
    </xf>
    <xf numFmtId="0" fontId="1" fillId="0" borderId="0" xfId="220" applyFill="1" applyProtection="1">
      <alignment/>
      <protection hidden="1"/>
    </xf>
    <xf numFmtId="0" fontId="1" fillId="0" borderId="0" xfId="220" applyFill="1">
      <alignment/>
      <protection/>
    </xf>
    <xf numFmtId="0" fontId="28" fillId="0" borderId="0" xfId="220" applyNumberFormat="1" applyFont="1" applyFill="1" applyAlignment="1" applyProtection="1">
      <alignment horizontal="centerContinuous"/>
      <protection hidden="1"/>
    </xf>
    <xf numFmtId="0" fontId="2" fillId="0" borderId="0" xfId="220" applyFont="1" applyFill="1" applyAlignment="1" applyProtection="1">
      <alignment/>
      <protection hidden="1"/>
    </xf>
    <xf numFmtId="49" fontId="4" fillId="0" borderId="17" xfId="232" applyNumberFormat="1" applyFont="1" applyFill="1" applyBorder="1" applyAlignment="1">
      <alignment horizontal="center" vertical="center" wrapText="1"/>
      <protection/>
    </xf>
    <xf numFmtId="185" fontId="2" fillId="0" borderId="13" xfId="232" applyNumberFormat="1" applyFont="1" applyFill="1" applyBorder="1" applyAlignment="1">
      <alignment horizontal="right" vertical="center"/>
      <protection/>
    </xf>
    <xf numFmtId="0" fontId="2" fillId="0" borderId="0" xfId="0" applyFont="1" applyFill="1" applyAlignment="1" applyProtection="1">
      <alignment/>
      <protection hidden="1"/>
    </xf>
    <xf numFmtId="0" fontId="2" fillId="0" borderId="0" xfId="220" applyFont="1" applyFill="1" applyProtection="1">
      <alignment/>
      <protection hidden="1"/>
    </xf>
    <xf numFmtId="0" fontId="2" fillId="0" borderId="0" xfId="221" applyFont="1" applyFill="1" applyAlignment="1" applyProtection="1">
      <alignment wrapText="1"/>
      <protection hidden="1"/>
    </xf>
    <xf numFmtId="0" fontId="2" fillId="0" borderId="0" xfId="230" applyFont="1" applyFill="1" applyBorder="1" applyAlignment="1">
      <alignment horizontal="justify" vertical="center" wrapText="1"/>
      <protection/>
    </xf>
    <xf numFmtId="14" fontId="2" fillId="0" borderId="0" xfId="230" applyNumberFormat="1" applyFont="1" applyFill="1" applyBorder="1" applyAlignment="1">
      <alignment horizontal="justify" vertical="center" wrapText="1"/>
      <protection/>
    </xf>
    <xf numFmtId="4" fontId="2" fillId="0" borderId="0" xfId="232" applyNumberFormat="1" applyFont="1" applyFill="1" applyBorder="1" applyAlignment="1">
      <alignment horizontal="right" vertical="center" wrapText="1"/>
      <protection/>
    </xf>
    <xf numFmtId="4" fontId="2" fillId="0" borderId="0" xfId="0" applyNumberFormat="1" applyFont="1" applyFill="1" applyBorder="1" applyAlignment="1">
      <alignment horizontal="right" vertical="center" wrapText="1"/>
    </xf>
    <xf numFmtId="0" fontId="1" fillId="0" borderId="0" xfId="220" applyFont="1" applyFill="1">
      <alignment/>
      <protection/>
    </xf>
    <xf numFmtId="0" fontId="4" fillId="0" borderId="0" xfId="220" applyFont="1" applyFill="1" applyAlignment="1" applyProtection="1">
      <alignment/>
      <protection hidden="1"/>
    </xf>
    <xf numFmtId="0" fontId="28" fillId="0" borderId="0" xfId="220" applyFont="1" applyFill="1">
      <alignment/>
      <protection/>
    </xf>
    <xf numFmtId="0" fontId="1" fillId="19" borderId="0" xfId="220" applyFont="1" applyFill="1">
      <alignment/>
      <protection/>
    </xf>
    <xf numFmtId="49" fontId="2" fillId="0" borderId="0" xfId="232" applyNumberFormat="1" applyFont="1" applyFill="1" applyBorder="1" applyAlignment="1">
      <alignment horizontal="center" vertical="center" wrapText="1"/>
      <protection/>
    </xf>
    <xf numFmtId="2" fontId="2" fillId="0" borderId="0" xfId="244" applyNumberFormat="1" applyFont="1" applyFill="1" applyBorder="1" applyAlignment="1">
      <alignment horizontal="center" vertical="center" wrapText="1"/>
    </xf>
    <xf numFmtId="49" fontId="2" fillId="0" borderId="0" xfId="227" applyNumberFormat="1" applyFont="1" applyFill="1" applyBorder="1" applyAlignment="1">
      <alignment horizontal="center" vertical="center" wrapText="1"/>
      <protection/>
    </xf>
    <xf numFmtId="49" fontId="2" fillId="0" borderId="0" xfId="244" applyNumberFormat="1" applyFont="1" applyFill="1" applyBorder="1" applyAlignment="1">
      <alignment horizontal="center" vertical="center"/>
    </xf>
    <xf numFmtId="49" fontId="2" fillId="0" borderId="0" xfId="227" applyNumberFormat="1" applyFont="1" applyFill="1" applyBorder="1" applyAlignment="1">
      <alignment horizontal="center" vertical="center"/>
      <protection/>
    </xf>
    <xf numFmtId="49" fontId="2" fillId="0" borderId="0" xfId="230" applyNumberFormat="1" applyFont="1" applyFill="1" applyBorder="1" applyAlignment="1">
      <alignment horizontal="center" vertical="center"/>
      <protection/>
    </xf>
    <xf numFmtId="49" fontId="2" fillId="0" borderId="0" xfId="230" applyNumberFormat="1" applyFont="1" applyFill="1" applyBorder="1" applyAlignment="1">
      <alignment horizontal="center" vertical="center" wrapText="1"/>
      <protection/>
    </xf>
    <xf numFmtId="185" fontId="2" fillId="4" borderId="11" xfId="232" applyNumberFormat="1" applyFont="1" applyFill="1" applyBorder="1" applyAlignment="1">
      <alignment horizontal="right" vertical="center" wrapText="1"/>
      <protection/>
    </xf>
    <xf numFmtId="185" fontId="2" fillId="4" borderId="11" xfId="232" applyNumberFormat="1" applyFont="1" applyFill="1" applyBorder="1" applyAlignment="1">
      <alignment horizontal="center" vertical="center" wrapText="1"/>
      <protection/>
    </xf>
    <xf numFmtId="0" fontId="2" fillId="0" borderId="0" xfId="0" applyFont="1" applyFill="1" applyAlignment="1">
      <alignment/>
    </xf>
    <xf numFmtId="0" fontId="2" fillId="19" borderId="0" xfId="0" applyFont="1" applyFill="1" applyAlignment="1">
      <alignment/>
    </xf>
    <xf numFmtId="0" fontId="2" fillId="19" borderId="11" xfId="0" applyFont="1" applyFill="1" applyBorder="1" applyAlignment="1" applyProtection="1">
      <alignment horizontal="center"/>
      <protection hidden="1"/>
    </xf>
    <xf numFmtId="49" fontId="2" fillId="19" borderId="11" xfId="0" applyNumberFormat="1" applyFont="1" applyFill="1" applyBorder="1" applyAlignment="1" applyProtection="1">
      <alignment horizontal="centerContinuous"/>
      <protection hidden="1"/>
    </xf>
    <xf numFmtId="49" fontId="2" fillId="19" borderId="11" xfId="0" applyNumberFormat="1" applyFont="1" applyFill="1" applyBorder="1" applyAlignment="1" applyProtection="1">
      <alignment horizontal="center"/>
      <protection hidden="1"/>
    </xf>
    <xf numFmtId="49" fontId="2" fillId="19" borderId="11" xfId="0" applyNumberFormat="1" applyFont="1" applyFill="1" applyBorder="1" applyAlignment="1" applyProtection="1">
      <alignment horizontal="center"/>
      <protection hidden="1"/>
    </xf>
    <xf numFmtId="0" fontId="4" fillId="19" borderId="11" xfId="0" applyFont="1" applyFill="1" applyBorder="1" applyAlignment="1" applyProtection="1">
      <alignment horizontal="center" vertical="center" wrapText="1"/>
      <protection hidden="1"/>
    </xf>
    <xf numFmtId="182" fontId="28" fillId="0" borderId="0" xfId="220" applyNumberFormat="1" applyFont="1" applyFill="1">
      <alignment/>
      <protection/>
    </xf>
    <xf numFmtId="0" fontId="2" fillId="0" borderId="0" xfId="0" applyFont="1" applyFill="1" applyBorder="1" applyAlignment="1">
      <alignment/>
    </xf>
    <xf numFmtId="2" fontId="2" fillId="0" borderId="10" xfId="244" applyNumberFormat="1" applyFont="1" applyFill="1" applyBorder="1" applyAlignment="1">
      <alignment vertical="center" wrapText="1"/>
    </xf>
    <xf numFmtId="4" fontId="2" fillId="0" borderId="0" xfId="232" applyNumberFormat="1" applyFont="1" applyFill="1" applyBorder="1" applyAlignment="1">
      <alignment horizontal="center" vertical="center" wrapText="1"/>
      <protection/>
    </xf>
    <xf numFmtId="0" fontId="2" fillId="0" borderId="11" xfId="223" applyNumberFormat="1" applyFont="1" applyFill="1" applyBorder="1" applyAlignment="1" applyProtection="1">
      <alignment horizontal="center" vertical="center" wrapText="1"/>
      <protection hidden="1"/>
    </xf>
    <xf numFmtId="185" fontId="2" fillId="4" borderId="11" xfId="243" applyNumberFormat="1" applyFont="1" applyFill="1" applyBorder="1" applyAlignment="1">
      <alignment horizontal="right" vertical="center"/>
    </xf>
    <xf numFmtId="2" fontId="4" fillId="0" borderId="13" xfId="232" applyNumberFormat="1" applyFont="1" applyFill="1" applyBorder="1" applyAlignment="1">
      <alignment horizontal="left" vertical="center" wrapText="1"/>
      <protection/>
    </xf>
    <xf numFmtId="49" fontId="4" fillId="0" borderId="16" xfId="232" applyNumberFormat="1" applyFont="1" applyFill="1" applyBorder="1" applyAlignment="1">
      <alignment horizontal="center" vertical="center" wrapText="1"/>
      <protection/>
    </xf>
    <xf numFmtId="49" fontId="4" fillId="0" borderId="14" xfId="232" applyNumberFormat="1" applyFont="1" applyFill="1" applyBorder="1" applyAlignment="1">
      <alignment horizontal="center" vertical="center" wrapText="1"/>
      <protection/>
    </xf>
    <xf numFmtId="49" fontId="4" fillId="0" borderId="10" xfId="232" applyNumberFormat="1" applyFont="1" applyFill="1" applyBorder="1" applyAlignment="1">
      <alignment horizontal="center" vertical="center" wrapText="1"/>
      <protection/>
    </xf>
    <xf numFmtId="49" fontId="4" fillId="0" borderId="15" xfId="232" applyNumberFormat="1" applyFont="1" applyFill="1" applyBorder="1" applyAlignment="1">
      <alignment horizontal="center" vertical="center" wrapText="1"/>
      <protection/>
    </xf>
    <xf numFmtId="185" fontId="4" fillId="4" borderId="13" xfId="232" applyNumberFormat="1" applyFont="1" applyFill="1" applyBorder="1" applyAlignment="1">
      <alignment horizontal="right" vertical="center"/>
      <protection/>
    </xf>
    <xf numFmtId="49" fontId="2" fillId="0" borderId="10" xfId="232" applyNumberFormat="1" applyFont="1" applyFill="1" applyBorder="1" applyAlignment="1">
      <alignment horizontal="center" vertical="center" wrapText="1"/>
      <protection/>
    </xf>
    <xf numFmtId="49" fontId="2" fillId="0" borderId="15" xfId="232" applyNumberFormat="1" applyFont="1" applyFill="1" applyBorder="1" applyAlignment="1">
      <alignment horizontal="center" vertical="center" wrapText="1"/>
      <protection/>
    </xf>
    <xf numFmtId="185" fontId="2" fillId="4" borderId="13" xfId="232" applyNumberFormat="1" applyFont="1" applyFill="1" applyBorder="1" applyAlignment="1">
      <alignment horizontal="right" vertical="center"/>
      <protection/>
    </xf>
    <xf numFmtId="2" fontId="4" fillId="0" borderId="11" xfId="232" applyNumberFormat="1" applyFont="1" applyFill="1" applyBorder="1" applyAlignment="1">
      <alignment horizontal="left" vertical="center" wrapText="1"/>
      <protection/>
    </xf>
    <xf numFmtId="49" fontId="4" fillId="0" borderId="18" xfId="244" applyNumberFormat="1" applyFont="1" applyFill="1" applyBorder="1" applyAlignment="1">
      <alignment horizontal="center" vertical="center" wrapText="1"/>
    </xf>
    <xf numFmtId="49" fontId="4" fillId="0" borderId="17" xfId="244" applyNumberFormat="1" applyFont="1" applyFill="1" applyBorder="1" applyAlignment="1">
      <alignment horizontal="center" vertical="center" wrapText="1"/>
    </xf>
    <xf numFmtId="185" fontId="4" fillId="4" borderId="11" xfId="232" applyNumberFormat="1" applyFont="1" applyFill="1" applyBorder="1" applyAlignment="1">
      <alignment horizontal="right" vertical="center"/>
      <protection/>
    </xf>
    <xf numFmtId="2" fontId="2" fillId="0" borderId="11" xfId="232" applyNumberFormat="1" applyFont="1" applyFill="1" applyBorder="1" applyAlignment="1">
      <alignment horizontal="left" vertical="center" wrapText="1"/>
      <protection/>
    </xf>
    <xf numFmtId="49" fontId="2" fillId="0" borderId="11" xfId="232" applyNumberFormat="1" applyFont="1" applyFill="1" applyBorder="1" applyAlignment="1">
      <alignment horizontal="center" vertical="center" wrapText="1"/>
      <protection/>
    </xf>
    <xf numFmtId="49" fontId="2" fillId="0" borderId="12" xfId="232" applyNumberFormat="1" applyFont="1" applyFill="1" applyBorder="1" applyAlignment="1">
      <alignment horizontal="center" vertical="center" wrapText="1"/>
      <protection/>
    </xf>
    <xf numFmtId="49" fontId="2" fillId="0" borderId="18" xfId="244" applyNumberFormat="1" applyFont="1" applyFill="1" applyBorder="1" applyAlignment="1">
      <alignment horizontal="center" vertical="center" wrapText="1"/>
    </xf>
    <xf numFmtId="49" fontId="2" fillId="0" borderId="17" xfId="244" applyNumberFormat="1" applyFont="1" applyFill="1" applyBorder="1" applyAlignment="1">
      <alignment horizontal="center" vertical="center" wrapText="1"/>
    </xf>
    <xf numFmtId="185" fontId="2" fillId="4" borderId="11" xfId="232" applyNumberFormat="1" applyFont="1" applyFill="1" applyBorder="1" applyAlignment="1">
      <alignment horizontal="right" vertical="center"/>
      <protection/>
    </xf>
    <xf numFmtId="49" fontId="2" fillId="0" borderId="11" xfId="232" applyNumberFormat="1" applyFont="1" applyFill="1" applyBorder="1" applyAlignment="1">
      <alignment horizontal="left" vertical="center" wrapText="1"/>
      <protection/>
    </xf>
    <xf numFmtId="185" fontId="2" fillId="0" borderId="11" xfId="232" applyNumberFormat="1" applyFont="1" applyFill="1" applyBorder="1" applyAlignment="1">
      <alignment horizontal="right" vertical="center"/>
      <protection/>
    </xf>
    <xf numFmtId="185" fontId="2" fillId="4" borderId="13" xfId="232" applyNumberFormat="1" applyFont="1" applyFill="1" applyBorder="1" applyAlignment="1">
      <alignment horizontal="right" vertical="center" wrapText="1"/>
      <protection/>
    </xf>
    <xf numFmtId="49" fontId="2" fillId="0" borderId="18" xfId="227" applyNumberFormat="1" applyFont="1" applyFill="1" applyBorder="1" applyAlignment="1">
      <alignment horizontal="center" vertical="center"/>
      <protection/>
    </xf>
    <xf numFmtId="49" fontId="2" fillId="0" borderId="17" xfId="227" applyNumberFormat="1" applyFont="1" applyFill="1" applyBorder="1" applyAlignment="1">
      <alignment horizontal="center" vertical="center"/>
      <protection/>
    </xf>
    <xf numFmtId="0" fontId="2" fillId="0" borderId="11" xfId="230" applyFont="1" applyFill="1" applyBorder="1" applyAlignment="1">
      <alignment horizontal="justify" vertical="center" wrapText="1"/>
      <protection/>
    </xf>
    <xf numFmtId="49" fontId="2" fillId="0" borderId="11" xfId="230" applyNumberFormat="1" applyFont="1" applyFill="1" applyBorder="1" applyAlignment="1">
      <alignment horizontal="center" vertical="center" wrapText="1"/>
      <protection/>
    </xf>
    <xf numFmtId="49" fontId="2" fillId="0" borderId="12" xfId="230" applyNumberFormat="1" applyFont="1" applyFill="1" applyBorder="1" applyAlignment="1">
      <alignment horizontal="center" vertical="center" wrapText="1"/>
      <protection/>
    </xf>
    <xf numFmtId="185" fontId="2" fillId="4" borderId="11" xfId="0" applyNumberFormat="1" applyFont="1" applyFill="1" applyBorder="1" applyAlignment="1">
      <alignment horizontal="right" vertical="center"/>
    </xf>
    <xf numFmtId="2" fontId="2" fillId="0" borderId="11" xfId="231" applyNumberFormat="1" applyFont="1" applyFill="1" applyBorder="1" applyAlignment="1">
      <alignment horizontal="justify" vertical="center" wrapText="1"/>
      <protection/>
    </xf>
    <xf numFmtId="49" fontId="2" fillId="0" borderId="11" xfId="231" applyNumberFormat="1" applyFont="1" applyFill="1" applyBorder="1" applyAlignment="1">
      <alignment horizontal="center" vertical="center" wrapText="1"/>
      <protection/>
    </xf>
    <xf numFmtId="49" fontId="2" fillId="0" borderId="12" xfId="231" applyNumberFormat="1" applyFont="1" applyFill="1" applyBorder="1" applyAlignment="1">
      <alignment horizontal="center" vertical="center" wrapText="1"/>
      <protection/>
    </xf>
    <xf numFmtId="185" fontId="2" fillId="4" borderId="16" xfId="232" applyNumberFormat="1" applyFont="1" applyFill="1" applyBorder="1" applyAlignment="1">
      <alignment horizontal="right" vertical="center" wrapText="1"/>
      <protection/>
    </xf>
    <xf numFmtId="0" fontId="2" fillId="0" borderId="11" xfId="229" applyNumberFormat="1" applyFont="1" applyFill="1" applyBorder="1" applyAlignment="1">
      <alignment horizontal="left" vertical="center" wrapText="1"/>
      <protection/>
    </xf>
    <xf numFmtId="0" fontId="2" fillId="0" borderId="11" xfId="229" applyFont="1" applyFill="1" applyBorder="1" applyAlignment="1">
      <alignment horizontal="center" vertical="center" wrapText="1"/>
      <protection/>
    </xf>
    <xf numFmtId="0" fontId="2" fillId="0" borderId="12" xfId="229" applyFont="1" applyFill="1" applyBorder="1" applyAlignment="1">
      <alignment vertical="center" wrapText="1"/>
      <protection/>
    </xf>
    <xf numFmtId="0" fontId="2" fillId="0" borderId="18" xfId="229" applyFont="1" applyFill="1" applyBorder="1" applyAlignment="1">
      <alignment vertical="center" wrapText="1"/>
      <protection/>
    </xf>
    <xf numFmtId="0" fontId="2" fillId="0" borderId="17" xfId="229" applyFont="1" applyFill="1" applyBorder="1" applyAlignment="1">
      <alignment vertical="center" wrapText="1"/>
      <protection/>
    </xf>
    <xf numFmtId="185" fontId="2" fillId="0" borderId="11" xfId="0" applyNumberFormat="1" applyFont="1" applyFill="1" applyBorder="1" applyAlignment="1" applyProtection="1">
      <alignment horizontal="right" wrapText="1"/>
      <protection hidden="1"/>
    </xf>
    <xf numFmtId="185" fontId="4" fillId="19" borderId="11" xfId="226" applyNumberFormat="1" applyFont="1" applyFill="1" applyBorder="1" applyAlignment="1">
      <alignment horizontal="justify" vertical="center" wrapText="1"/>
      <protection/>
    </xf>
    <xf numFmtId="49" fontId="4" fillId="19" borderId="11" xfId="226" applyNumberFormat="1" applyFont="1" applyFill="1" applyBorder="1" applyAlignment="1">
      <alignment horizontal="center" vertical="center"/>
      <protection/>
    </xf>
    <xf numFmtId="49" fontId="4" fillId="19" borderId="12" xfId="226" applyNumberFormat="1" applyFont="1" applyFill="1" applyBorder="1" applyAlignment="1">
      <alignment horizontal="center" vertical="center"/>
      <protection/>
    </xf>
    <xf numFmtId="49" fontId="4" fillId="19" borderId="18" xfId="226" applyNumberFormat="1" applyFont="1" applyFill="1" applyBorder="1" applyAlignment="1">
      <alignment horizontal="center" vertical="center"/>
      <protection/>
    </xf>
    <xf numFmtId="49" fontId="4" fillId="19" borderId="17" xfId="226" applyNumberFormat="1" applyFont="1" applyFill="1" applyBorder="1" applyAlignment="1">
      <alignment horizontal="center" vertical="center"/>
      <protection/>
    </xf>
    <xf numFmtId="0" fontId="4" fillId="19" borderId="11" xfId="232" applyFont="1" applyFill="1" applyBorder="1" applyAlignment="1">
      <alignment horizontal="justify" vertical="center" wrapText="1"/>
      <protection/>
    </xf>
    <xf numFmtId="49" fontId="4" fillId="19" borderId="12" xfId="244" applyNumberFormat="1" applyFont="1" applyFill="1" applyBorder="1" applyAlignment="1">
      <alignment horizontal="center" vertical="center"/>
    </xf>
    <xf numFmtId="49" fontId="4" fillId="19" borderId="18" xfId="244" applyNumberFormat="1" applyFont="1" applyFill="1" applyBorder="1" applyAlignment="1">
      <alignment horizontal="center" vertical="center"/>
    </xf>
    <xf numFmtId="49" fontId="4" fillId="19" borderId="17" xfId="244" applyNumberFormat="1" applyFont="1" applyFill="1" applyBorder="1" applyAlignment="1">
      <alignment horizontal="center" vertical="center"/>
    </xf>
    <xf numFmtId="0" fontId="2" fillId="19" borderId="11" xfId="232" applyFont="1" applyFill="1" applyBorder="1" applyAlignment="1">
      <alignment horizontal="justify" vertical="center" wrapText="1"/>
      <protection/>
    </xf>
    <xf numFmtId="49" fontId="2" fillId="19" borderId="11" xfId="226" applyNumberFormat="1" applyFont="1" applyFill="1" applyBorder="1" applyAlignment="1">
      <alignment horizontal="center" vertical="center"/>
      <protection/>
    </xf>
    <xf numFmtId="49" fontId="2" fillId="19" borderId="12" xfId="244" applyNumberFormat="1" applyFont="1" applyFill="1" applyBorder="1" applyAlignment="1">
      <alignment horizontal="center" vertical="center"/>
    </xf>
    <xf numFmtId="49" fontId="2" fillId="19" borderId="18" xfId="244" applyNumberFormat="1" applyFont="1" applyFill="1" applyBorder="1" applyAlignment="1">
      <alignment horizontal="center" vertical="center"/>
    </xf>
    <xf numFmtId="49" fontId="2" fillId="19" borderId="17" xfId="244" applyNumberFormat="1" applyFont="1" applyFill="1" applyBorder="1" applyAlignment="1">
      <alignment horizontal="center" vertical="center"/>
    </xf>
    <xf numFmtId="0" fontId="2" fillId="19" borderId="11" xfId="220" applyNumberFormat="1" applyFont="1" applyFill="1" applyBorder="1" applyAlignment="1" applyProtection="1">
      <alignment horizontal="left" vertical="top" wrapText="1"/>
      <protection hidden="1"/>
    </xf>
    <xf numFmtId="0" fontId="2" fillId="0" borderId="11" xfId="220" applyNumberFormat="1" applyFont="1" applyFill="1" applyBorder="1" applyAlignment="1" applyProtection="1">
      <alignment horizontal="left" vertical="top" wrapText="1"/>
      <protection hidden="1"/>
    </xf>
    <xf numFmtId="49" fontId="2" fillId="0" borderId="12" xfId="244" applyNumberFormat="1" applyFont="1" applyFill="1" applyBorder="1" applyAlignment="1">
      <alignment horizontal="center" vertical="center"/>
    </xf>
    <xf numFmtId="49" fontId="2" fillId="0" borderId="18" xfId="244" applyNumberFormat="1" applyFont="1" applyFill="1" applyBorder="1" applyAlignment="1">
      <alignment horizontal="center" vertical="center"/>
    </xf>
    <xf numFmtId="49" fontId="2" fillId="0" borderId="17" xfId="244" applyNumberFormat="1" applyFont="1" applyFill="1" applyBorder="1" applyAlignment="1">
      <alignment horizontal="center" vertical="center"/>
    </xf>
    <xf numFmtId="0" fontId="4" fillId="0" borderId="11" xfId="232" applyFont="1" applyFill="1" applyBorder="1" applyAlignment="1">
      <alignment horizontal="justify" vertical="center" wrapText="1"/>
      <protection/>
    </xf>
    <xf numFmtId="49" fontId="4" fillId="0" borderId="11" xfId="226" applyNumberFormat="1" applyFont="1" applyFill="1" applyBorder="1" applyAlignment="1">
      <alignment horizontal="center" vertical="center"/>
      <protection/>
    </xf>
    <xf numFmtId="49" fontId="4" fillId="0" borderId="12" xfId="244" applyNumberFormat="1" applyFont="1" applyFill="1" applyBorder="1" applyAlignment="1">
      <alignment horizontal="center" vertical="center"/>
    </xf>
    <xf numFmtId="49" fontId="4" fillId="0" borderId="18" xfId="244" applyNumberFormat="1" applyFont="1" applyFill="1" applyBorder="1" applyAlignment="1">
      <alignment horizontal="center" vertical="center"/>
    </xf>
    <xf numFmtId="49" fontId="4" fillId="0" borderId="17" xfId="244" applyNumberFormat="1" applyFont="1" applyFill="1" applyBorder="1" applyAlignment="1">
      <alignment horizontal="center" vertical="center"/>
    </xf>
    <xf numFmtId="0" fontId="2" fillId="19" borderId="11" xfId="0" applyNumberFormat="1" applyFont="1" applyFill="1" applyBorder="1" applyAlignment="1">
      <alignment vertical="center" wrapText="1"/>
    </xf>
    <xf numFmtId="49" fontId="2" fillId="19" borderId="18" xfId="0" applyNumberFormat="1" applyFont="1" applyFill="1" applyBorder="1" applyAlignment="1">
      <alignment horizontal="center" vertical="center"/>
    </xf>
    <xf numFmtId="49" fontId="2" fillId="19" borderId="17" xfId="0" applyNumberFormat="1" applyFont="1" applyFill="1" applyBorder="1" applyAlignment="1">
      <alignment horizontal="center" vertical="center"/>
    </xf>
    <xf numFmtId="0" fontId="2" fillId="19" borderId="11" xfId="0" applyNumberFormat="1" applyFont="1" applyFill="1" applyBorder="1" applyAlignment="1">
      <alignment horizontal="justify" vertical="center" wrapText="1"/>
    </xf>
    <xf numFmtId="0" fontId="2" fillId="19" borderId="11" xfId="0" applyFont="1" applyFill="1" applyBorder="1" applyAlignment="1">
      <alignment vertical="center" wrapText="1"/>
    </xf>
    <xf numFmtId="0" fontId="4" fillId="19" borderId="11" xfId="0" applyFont="1" applyFill="1" applyBorder="1" applyAlignment="1">
      <alignment vertical="center" wrapText="1"/>
    </xf>
    <xf numFmtId="49" fontId="4" fillId="19" borderId="18" xfId="0" applyNumberFormat="1" applyFont="1" applyFill="1" applyBorder="1" applyAlignment="1">
      <alignment horizontal="center" vertical="center"/>
    </xf>
    <xf numFmtId="49" fontId="4" fillId="19" borderId="17" xfId="0" applyNumberFormat="1" applyFont="1" applyFill="1" applyBorder="1" applyAlignment="1">
      <alignment horizontal="center" vertical="center"/>
    </xf>
    <xf numFmtId="2" fontId="4" fillId="19" borderId="11" xfId="232" applyNumberFormat="1" applyFont="1" applyFill="1" applyBorder="1" applyAlignment="1">
      <alignment horizontal="justify" vertical="center" wrapText="1"/>
      <protection/>
    </xf>
    <xf numFmtId="2" fontId="4" fillId="19" borderId="12" xfId="244" applyNumberFormat="1" applyFont="1" applyFill="1" applyBorder="1" applyAlignment="1">
      <alignment horizontal="center" vertical="center"/>
    </xf>
    <xf numFmtId="2" fontId="4" fillId="19" borderId="18" xfId="244" applyNumberFormat="1" applyFont="1" applyFill="1" applyBorder="1" applyAlignment="1">
      <alignment horizontal="center" vertical="center"/>
    </xf>
    <xf numFmtId="2" fontId="4" fillId="19" borderId="17" xfId="244" applyNumberFormat="1" applyFont="1" applyFill="1" applyBorder="1" applyAlignment="1">
      <alignment horizontal="center" vertical="center"/>
    </xf>
    <xf numFmtId="2" fontId="2" fillId="19" borderId="11" xfId="232" applyNumberFormat="1" applyFont="1" applyFill="1" applyBorder="1" applyAlignment="1">
      <alignment horizontal="justify" vertical="center" wrapText="1"/>
      <protection/>
    </xf>
    <xf numFmtId="2" fontId="2" fillId="19" borderId="12" xfId="244" applyNumberFormat="1" applyFont="1" applyFill="1" applyBorder="1" applyAlignment="1">
      <alignment horizontal="center" vertical="center"/>
    </xf>
    <xf numFmtId="2" fontId="2" fillId="19" borderId="18" xfId="244" applyNumberFormat="1" applyFont="1" applyFill="1" applyBorder="1" applyAlignment="1">
      <alignment horizontal="center" vertical="center"/>
    </xf>
    <xf numFmtId="2" fontId="2" fillId="19" borderId="17" xfId="244" applyNumberFormat="1" applyFont="1" applyFill="1" applyBorder="1" applyAlignment="1">
      <alignment horizontal="center" vertical="center"/>
    </xf>
    <xf numFmtId="0" fontId="4" fillId="19" borderId="11" xfId="232" applyFont="1" applyFill="1" applyBorder="1" applyAlignment="1" quotePrefix="1">
      <alignment horizontal="justify" vertical="center" wrapText="1"/>
      <protection/>
    </xf>
    <xf numFmtId="49" fontId="4" fillId="19" borderId="12" xfId="243" applyNumberFormat="1" applyFont="1" applyFill="1" applyBorder="1" applyAlignment="1">
      <alignment horizontal="center" vertical="center"/>
    </xf>
    <xf numFmtId="49" fontId="4" fillId="19" borderId="18" xfId="243" applyNumberFormat="1" applyFont="1" applyFill="1" applyBorder="1" applyAlignment="1">
      <alignment horizontal="center" vertical="center"/>
    </xf>
    <xf numFmtId="49" fontId="4" fillId="19" borderId="17" xfId="243" applyNumberFormat="1" applyFont="1" applyFill="1" applyBorder="1" applyAlignment="1">
      <alignment horizontal="center" vertical="center"/>
    </xf>
    <xf numFmtId="49" fontId="2" fillId="19" borderId="12" xfId="243" applyNumberFormat="1" applyFont="1" applyFill="1" applyBorder="1" applyAlignment="1">
      <alignment horizontal="center" vertical="center"/>
    </xf>
    <xf numFmtId="49" fontId="2" fillId="19" borderId="18" xfId="243" applyNumberFormat="1" applyFont="1" applyFill="1" applyBorder="1" applyAlignment="1">
      <alignment horizontal="center" vertical="center"/>
    </xf>
    <xf numFmtId="49" fontId="2" fillId="19" borderId="17" xfId="243" applyNumberFormat="1" applyFont="1" applyFill="1" applyBorder="1" applyAlignment="1">
      <alignment horizontal="center" vertical="center"/>
    </xf>
    <xf numFmtId="0" fontId="4" fillId="19" borderId="11" xfId="224" applyFont="1" applyFill="1" applyBorder="1" applyAlignment="1">
      <alignment horizontal="justify" vertical="center" wrapText="1"/>
      <protection/>
    </xf>
    <xf numFmtId="0" fontId="2" fillId="19" borderId="11" xfId="224" applyFont="1" applyFill="1" applyBorder="1" applyAlignment="1">
      <alignment horizontal="justify" vertical="center" wrapText="1"/>
      <protection/>
    </xf>
    <xf numFmtId="49" fontId="2" fillId="19" borderId="12" xfId="0" applyNumberFormat="1" applyFont="1" applyFill="1" applyBorder="1" applyAlignment="1">
      <alignment horizontal="center" vertical="center"/>
    </xf>
    <xf numFmtId="49" fontId="2" fillId="19" borderId="18"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vertical="top" wrapText="1"/>
      <protection locked="0"/>
    </xf>
    <xf numFmtId="49" fontId="2" fillId="0" borderId="12"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8" xfId="0" applyNumberFormat="1" applyFont="1" applyFill="1" applyBorder="1" applyAlignment="1" applyProtection="1">
      <alignment horizontal="center" vertical="center"/>
      <protection locked="0"/>
    </xf>
    <xf numFmtId="49" fontId="2" fillId="0" borderId="17" xfId="0" applyNumberFormat="1" applyFont="1" applyFill="1" applyBorder="1" applyAlignment="1">
      <alignment horizontal="center" vertical="center"/>
    </xf>
    <xf numFmtId="186" fontId="4" fillId="19" borderId="11" xfId="226" applyNumberFormat="1" applyFont="1" applyFill="1" applyBorder="1" applyAlignment="1">
      <alignment horizontal="justify" vertical="center" wrapText="1"/>
      <protection/>
    </xf>
    <xf numFmtId="0" fontId="4" fillId="19" borderId="11" xfId="229" applyFont="1" applyFill="1" applyBorder="1" applyAlignment="1">
      <alignment horizontal="justify" vertical="center" wrapText="1"/>
      <protection/>
    </xf>
    <xf numFmtId="0" fontId="4" fillId="19" borderId="11" xfId="0" applyNumberFormat="1" applyFont="1" applyFill="1" applyBorder="1" applyAlignment="1" applyProtection="1">
      <alignment vertical="top" wrapText="1"/>
      <protection locked="0"/>
    </xf>
    <xf numFmtId="49" fontId="4" fillId="19" borderId="12" xfId="0" applyNumberFormat="1" applyFont="1" applyFill="1" applyBorder="1" applyAlignment="1">
      <alignment horizontal="center" vertical="center"/>
    </xf>
    <xf numFmtId="49" fontId="4" fillId="19" borderId="18" xfId="0" applyNumberFormat="1" applyFont="1" applyFill="1" applyBorder="1" applyAlignment="1" applyProtection="1">
      <alignment horizontal="center" vertical="center"/>
      <protection locked="0"/>
    </xf>
    <xf numFmtId="0" fontId="2" fillId="19" borderId="11" xfId="0" applyNumberFormat="1" applyFont="1" applyFill="1" applyBorder="1" applyAlignment="1" applyProtection="1">
      <alignment vertical="top" wrapText="1"/>
      <protection locked="0"/>
    </xf>
    <xf numFmtId="0" fontId="2" fillId="0" borderId="11" xfId="232" applyFont="1" applyFill="1" applyBorder="1" applyAlignment="1">
      <alignment horizontal="justify" vertical="center" wrapText="1"/>
      <protection/>
    </xf>
    <xf numFmtId="49" fontId="2" fillId="0" borderId="11" xfId="226" applyNumberFormat="1" applyFont="1" applyFill="1" applyBorder="1" applyAlignment="1">
      <alignment horizontal="center" vertical="center"/>
      <protection/>
    </xf>
    <xf numFmtId="0" fontId="2" fillId="0" borderId="11" xfId="0" applyNumberFormat="1" applyFont="1" applyFill="1" applyBorder="1" applyAlignment="1" applyProtection="1">
      <alignment vertical="center" wrapText="1"/>
      <protection locked="0"/>
    </xf>
    <xf numFmtId="0" fontId="2" fillId="0" borderId="11" xfId="224" applyFont="1" applyFill="1" applyBorder="1" applyAlignment="1">
      <alignment horizontal="justify" vertical="center" wrapText="1"/>
      <protection/>
    </xf>
    <xf numFmtId="49" fontId="2" fillId="0" borderId="12" xfId="244" applyNumberFormat="1" applyFont="1" applyFill="1" applyBorder="1" applyAlignment="1" quotePrefix="1">
      <alignment horizontal="center" vertical="center"/>
    </xf>
    <xf numFmtId="0" fontId="2" fillId="19" borderId="11" xfId="229" applyFont="1" applyFill="1" applyBorder="1" applyAlignment="1">
      <alignment horizontal="justify" vertical="center" wrapText="1"/>
      <protection/>
    </xf>
    <xf numFmtId="49" fontId="4" fillId="19" borderId="18" xfId="229" applyNumberFormat="1" applyFont="1" applyFill="1" applyBorder="1" applyAlignment="1">
      <alignment horizontal="center" vertical="center"/>
      <protection/>
    </xf>
    <xf numFmtId="49" fontId="4" fillId="19" borderId="17" xfId="229" applyNumberFormat="1" applyFont="1" applyFill="1" applyBorder="1" applyAlignment="1">
      <alignment horizontal="center" vertical="center"/>
      <protection/>
    </xf>
    <xf numFmtId="49" fontId="2" fillId="19" borderId="18" xfId="229" applyNumberFormat="1" applyFont="1" applyFill="1" applyBorder="1" applyAlignment="1">
      <alignment horizontal="center" vertical="center"/>
      <protection/>
    </xf>
    <xf numFmtId="49" fontId="2" fillId="19" borderId="17" xfId="229" applyNumberFormat="1" applyFont="1" applyFill="1" applyBorder="1" applyAlignment="1">
      <alignment horizontal="center" vertical="center"/>
      <protection/>
    </xf>
    <xf numFmtId="2" fontId="2" fillId="0" borderId="0" xfId="231" applyNumberFormat="1" applyFont="1" applyFill="1" applyBorder="1" applyAlignment="1">
      <alignment horizontal="justify" vertical="center" wrapText="1"/>
      <protection/>
    </xf>
    <xf numFmtId="49" fontId="2" fillId="0" borderId="0" xfId="231" applyNumberFormat="1" applyFont="1" applyFill="1" applyBorder="1" applyAlignment="1">
      <alignment horizontal="center" vertical="center" wrapText="1"/>
      <protection/>
    </xf>
    <xf numFmtId="208" fontId="3" fillId="0" borderId="0" xfId="0" applyNumberFormat="1" applyFont="1" applyFill="1" applyBorder="1" applyAlignment="1" applyProtection="1">
      <alignment horizontal="right" vertical="center"/>
      <protection hidden="1"/>
    </xf>
    <xf numFmtId="49" fontId="2" fillId="19" borderId="18" xfId="244" applyNumberFormat="1" applyFont="1" applyFill="1" applyBorder="1" applyAlignment="1" quotePrefix="1">
      <alignment horizontal="center" vertical="center"/>
    </xf>
    <xf numFmtId="49" fontId="4" fillId="0" borderId="12"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8" xfId="0" applyNumberFormat="1" applyFont="1" applyFill="1" applyBorder="1" applyAlignment="1" applyProtection="1">
      <alignment horizontal="center" vertical="center"/>
      <protection locked="0"/>
    </xf>
    <xf numFmtId="49" fontId="4" fillId="0" borderId="17" xfId="0" applyNumberFormat="1" applyFont="1" applyFill="1" applyBorder="1" applyAlignment="1">
      <alignment horizontal="center" vertical="center"/>
    </xf>
    <xf numFmtId="185" fontId="2" fillId="0" borderId="0" xfId="0" applyNumberFormat="1" applyFont="1" applyFill="1" applyBorder="1" applyAlignment="1">
      <alignment horizontal="right" vertical="center"/>
    </xf>
    <xf numFmtId="185" fontId="2" fillId="0" borderId="0" xfId="232" applyNumberFormat="1" applyFont="1" applyFill="1" applyBorder="1" applyAlignment="1">
      <alignment horizontal="center" vertical="center" wrapText="1"/>
      <protection/>
    </xf>
    <xf numFmtId="0" fontId="2" fillId="20" borderId="11" xfId="232" applyFont="1" applyFill="1" applyBorder="1" applyAlignment="1">
      <alignment horizontal="justify" vertical="center" wrapText="1"/>
      <protection/>
    </xf>
    <xf numFmtId="49" fontId="2" fillId="20" borderId="11" xfId="226" applyNumberFormat="1" applyFont="1" applyFill="1" applyBorder="1" applyAlignment="1">
      <alignment horizontal="center" vertical="center"/>
      <protection/>
    </xf>
    <xf numFmtId="49" fontId="2" fillId="20" borderId="12" xfId="244" applyNumberFormat="1" applyFont="1" applyFill="1" applyBorder="1" applyAlignment="1">
      <alignment horizontal="center" vertical="center"/>
    </xf>
    <xf numFmtId="49" fontId="2" fillId="20" borderId="18" xfId="244" applyNumberFormat="1" applyFont="1" applyFill="1" applyBorder="1" applyAlignment="1">
      <alignment horizontal="center" vertical="center"/>
    </xf>
    <xf numFmtId="49" fontId="2" fillId="20" borderId="17" xfId="244" applyNumberFormat="1" applyFont="1" applyFill="1" applyBorder="1" applyAlignment="1">
      <alignment horizontal="center" vertical="center"/>
    </xf>
    <xf numFmtId="185" fontId="2" fillId="20" borderId="11" xfId="244" applyNumberFormat="1" applyFont="1" applyFill="1" applyBorder="1" applyAlignment="1">
      <alignment horizontal="right" vertical="center"/>
    </xf>
    <xf numFmtId="185" fontId="2" fillId="20" borderId="11" xfId="243" applyNumberFormat="1" applyFont="1" applyFill="1" applyBorder="1" applyAlignment="1">
      <alignment horizontal="right" vertical="center" shrinkToFit="1"/>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0" xfId="222" applyFont="1" applyFill="1" applyAlignment="1" applyProtection="1">
      <alignment horizontal="left"/>
      <protection hidden="1"/>
    </xf>
    <xf numFmtId="185" fontId="2" fillId="0" borderId="19" xfId="232" applyNumberFormat="1" applyFont="1" applyFill="1" applyBorder="1" applyAlignment="1">
      <alignment horizontal="right" vertical="center" wrapText="1"/>
      <protection/>
    </xf>
    <xf numFmtId="4" fontId="2" fillId="0" borderId="0" xfId="0" applyNumberFormat="1" applyFont="1" applyFill="1" applyBorder="1" applyAlignment="1">
      <alignment/>
    </xf>
    <xf numFmtId="0" fontId="1" fillId="0" borderId="0" xfId="73">
      <alignment/>
      <protection/>
    </xf>
    <xf numFmtId="0" fontId="2" fillId="0" borderId="16" xfId="116" applyNumberFormat="1" applyFont="1" applyFill="1" applyBorder="1" applyAlignment="1" applyProtection="1">
      <alignment horizontal="center" vertical="center" wrapText="1"/>
      <protection hidden="1"/>
    </xf>
    <xf numFmtId="0" fontId="2" fillId="0" borderId="11" xfId="116" applyNumberFormat="1" applyFont="1" applyFill="1" applyBorder="1" applyAlignment="1" applyProtection="1">
      <alignment horizontal="center" vertical="center" wrapText="1"/>
      <protection hidden="1"/>
    </xf>
    <xf numFmtId="185" fontId="2" fillId="20" borderId="11" xfId="232" applyNumberFormat="1" applyFont="1" applyFill="1" applyBorder="1" applyAlignment="1">
      <alignment horizontal="right" vertical="center"/>
      <protection/>
    </xf>
    <xf numFmtId="0" fontId="3" fillId="0" borderId="11" xfId="73" applyFont="1" applyFill="1" applyBorder="1" applyAlignment="1" applyProtection="1">
      <alignment horizontal="center" vertical="center" wrapText="1"/>
      <protection hidden="1"/>
    </xf>
    <xf numFmtId="0" fontId="3" fillId="0" borderId="11" xfId="73" applyFont="1" applyFill="1" applyBorder="1" applyAlignment="1" applyProtection="1">
      <alignment horizontal="center" vertical="center"/>
      <protection hidden="1"/>
    </xf>
    <xf numFmtId="0" fontId="3" fillId="0" borderId="12" xfId="73" applyFont="1" applyFill="1" applyBorder="1" applyAlignment="1" applyProtection="1">
      <alignment vertical="center"/>
      <protection hidden="1"/>
    </xf>
    <xf numFmtId="0" fontId="3" fillId="0" borderId="18" xfId="73" applyFont="1" applyFill="1" applyBorder="1" applyAlignment="1" applyProtection="1">
      <alignment vertical="center"/>
      <protection hidden="1"/>
    </xf>
    <xf numFmtId="0" fontId="3" fillId="0" borderId="18" xfId="73" applyFont="1" applyFill="1" applyBorder="1" applyAlignment="1" applyProtection="1">
      <alignment horizontal="center" vertical="center"/>
      <protection hidden="1"/>
    </xf>
    <xf numFmtId="0" fontId="3" fillId="0" borderId="17" xfId="73" applyFont="1" applyFill="1" applyBorder="1" applyAlignment="1" applyProtection="1">
      <alignment vertical="center"/>
      <protection hidden="1"/>
    </xf>
    <xf numFmtId="208" fontId="3" fillId="0" borderId="11" xfId="225" applyNumberFormat="1" applyFont="1" applyFill="1" applyBorder="1" applyAlignment="1" applyProtection="1">
      <alignment horizontal="right" vertical="center"/>
      <protection hidden="1"/>
    </xf>
    <xf numFmtId="185" fontId="2" fillId="0" borderId="11" xfId="0" applyNumberFormat="1" applyFont="1" applyFill="1" applyBorder="1" applyAlignment="1">
      <alignment horizontal="right" vertical="center"/>
    </xf>
    <xf numFmtId="185" fontId="2" fillId="0" borderId="11" xfId="232" applyNumberFormat="1" applyFont="1" applyFill="1" applyBorder="1" applyAlignment="1">
      <alignment horizontal="right" vertical="center" wrapText="1"/>
      <protection/>
    </xf>
    <xf numFmtId="171" fontId="2" fillId="0" borderId="11" xfId="232" applyNumberFormat="1" applyFont="1" applyFill="1" applyBorder="1" applyAlignment="1">
      <alignment vertical="center" wrapText="1"/>
      <protection/>
    </xf>
    <xf numFmtId="2" fontId="2" fillId="0" borderId="18" xfId="244" applyNumberFormat="1" applyFont="1" applyFill="1" applyBorder="1" applyAlignment="1">
      <alignment horizontal="center" vertical="center" wrapText="1"/>
    </xf>
    <xf numFmtId="2" fontId="2" fillId="0" borderId="17" xfId="244" applyNumberFormat="1" applyFont="1" applyFill="1" applyBorder="1" applyAlignment="1">
      <alignment horizontal="center" vertical="center" wrapText="1"/>
    </xf>
    <xf numFmtId="185" fontId="2" fillId="20" borderId="11" xfId="0" applyNumberFormat="1" applyFont="1" applyFill="1" applyBorder="1" applyAlignment="1" applyProtection="1">
      <alignment horizontal="right" vertical="center"/>
      <protection hidden="1"/>
    </xf>
    <xf numFmtId="185" fontId="2" fillId="20" borderId="11" xfId="243" applyNumberFormat="1" applyFont="1" applyFill="1" applyBorder="1" applyAlignment="1">
      <alignment horizontal="right" vertical="center"/>
    </xf>
    <xf numFmtId="0" fontId="2" fillId="20" borderId="11" xfId="220" applyNumberFormat="1" applyFont="1" applyFill="1" applyBorder="1" applyAlignment="1" applyProtection="1">
      <alignment horizontal="left" vertical="top" wrapText="1"/>
      <protection hidden="1"/>
    </xf>
    <xf numFmtId="0" fontId="8" fillId="20" borderId="0" xfId="0" applyFont="1" applyFill="1" applyBorder="1" applyAlignment="1">
      <alignment/>
    </xf>
    <xf numFmtId="49" fontId="2" fillId="20" borderId="18" xfId="0" applyNumberFormat="1" applyFont="1" applyFill="1" applyBorder="1" applyAlignment="1">
      <alignment horizontal="center" vertical="center"/>
    </xf>
    <xf numFmtId="49" fontId="2" fillId="20" borderId="17" xfId="0" applyNumberFormat="1" applyFont="1" applyFill="1" applyBorder="1" applyAlignment="1">
      <alignment horizontal="center" vertical="center"/>
    </xf>
    <xf numFmtId="2" fontId="2" fillId="20" borderId="12" xfId="244" applyNumberFormat="1" applyFont="1" applyFill="1" applyBorder="1" applyAlignment="1">
      <alignment horizontal="center" vertical="center"/>
    </xf>
    <xf numFmtId="2" fontId="2" fillId="20" borderId="18" xfId="244" applyNumberFormat="1" applyFont="1" applyFill="1" applyBorder="1" applyAlignment="1">
      <alignment horizontal="center" vertical="center"/>
    </xf>
    <xf numFmtId="2" fontId="2" fillId="20" borderId="17" xfId="244" applyNumberFormat="1" applyFont="1" applyFill="1" applyBorder="1" applyAlignment="1">
      <alignment horizontal="center" vertical="center"/>
    </xf>
    <xf numFmtId="49" fontId="2" fillId="20" borderId="12" xfId="243" applyNumberFormat="1" applyFont="1" applyFill="1" applyBorder="1" applyAlignment="1">
      <alignment horizontal="center" vertical="center"/>
    </xf>
    <xf numFmtId="49" fontId="2" fillId="20" borderId="18" xfId="243" applyNumberFormat="1" applyFont="1" applyFill="1" applyBorder="1" applyAlignment="1">
      <alignment horizontal="center" vertical="center"/>
    </xf>
    <xf numFmtId="49" fontId="2" fillId="20" borderId="17" xfId="243" applyNumberFormat="1" applyFont="1" applyFill="1" applyBorder="1" applyAlignment="1">
      <alignment horizontal="center" vertical="center"/>
    </xf>
    <xf numFmtId="0" fontId="2" fillId="20" borderId="11" xfId="224" applyFont="1" applyFill="1" applyBorder="1" applyAlignment="1">
      <alignment horizontal="justify" vertical="center" wrapText="1"/>
      <protection/>
    </xf>
    <xf numFmtId="0" fontId="6" fillId="20" borderId="0" xfId="0" applyFont="1" applyFill="1" applyBorder="1" applyAlignment="1">
      <alignment/>
    </xf>
    <xf numFmtId="49" fontId="2" fillId="20" borderId="12" xfId="244" applyNumberFormat="1" applyFont="1" applyFill="1" applyBorder="1" applyAlignment="1" quotePrefix="1">
      <alignment horizontal="center" vertical="center"/>
    </xf>
    <xf numFmtId="0" fontId="2" fillId="0" borderId="11" xfId="229" applyFont="1" applyFill="1" applyBorder="1" applyAlignment="1">
      <alignment horizontal="justify" vertical="center" wrapText="1"/>
      <protection/>
    </xf>
    <xf numFmtId="0" fontId="4" fillId="0" borderId="11" xfId="0" applyNumberFormat="1" applyFont="1" applyFill="1" applyBorder="1" applyAlignment="1" applyProtection="1">
      <alignment vertical="center" wrapText="1"/>
      <protection locked="0"/>
    </xf>
    <xf numFmtId="0" fontId="4" fillId="0" borderId="11"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4" fillId="0" borderId="11" xfId="229" applyFont="1" applyFill="1" applyBorder="1" applyAlignment="1">
      <alignment horizontal="justify" vertical="center" wrapText="1"/>
      <protection/>
    </xf>
    <xf numFmtId="0" fontId="29" fillId="0" borderId="11" xfId="229" applyFont="1" applyFill="1" applyBorder="1" applyAlignment="1">
      <alignment horizontal="justify" vertical="center" wrapText="1"/>
      <protection/>
    </xf>
    <xf numFmtId="0" fontId="4" fillId="0" borderId="11" xfId="0" applyNumberFormat="1" applyFont="1" applyFill="1" applyBorder="1" applyAlignment="1" applyProtection="1">
      <alignment vertical="top" wrapText="1"/>
      <protection locked="0"/>
    </xf>
    <xf numFmtId="0" fontId="4" fillId="0" borderId="11" xfId="224" applyFont="1" applyFill="1" applyBorder="1" applyAlignment="1">
      <alignment horizontal="justify" vertical="center" wrapText="1"/>
      <protection/>
    </xf>
    <xf numFmtId="2" fontId="2" fillId="0" borderId="11" xfId="0" applyNumberFormat="1" applyFont="1" applyFill="1" applyBorder="1" applyAlignment="1">
      <alignment horizontal="justify" vertical="center" wrapText="1"/>
    </xf>
    <xf numFmtId="49" fontId="4" fillId="0" borderId="18" xfId="229" applyNumberFormat="1" applyFont="1" applyFill="1" applyBorder="1" applyAlignment="1">
      <alignment horizontal="center" vertical="center"/>
      <protection/>
    </xf>
    <xf numFmtId="49" fontId="4" fillId="0" borderId="17" xfId="229" applyNumberFormat="1" applyFont="1" applyFill="1" applyBorder="1" applyAlignment="1">
      <alignment horizontal="center" vertical="center"/>
      <protection/>
    </xf>
    <xf numFmtId="49" fontId="2" fillId="0" borderId="18" xfId="229" applyNumberFormat="1" applyFont="1" applyFill="1" applyBorder="1" applyAlignment="1">
      <alignment horizontal="center" vertical="center"/>
      <protection/>
    </xf>
    <xf numFmtId="49" fontId="2" fillId="0" borderId="17" xfId="229" applyNumberFormat="1" applyFont="1" applyFill="1" applyBorder="1" applyAlignment="1">
      <alignment horizontal="center" vertical="center"/>
      <protection/>
    </xf>
    <xf numFmtId="185" fontId="4" fillId="21" borderId="11" xfId="226" applyNumberFormat="1" applyFont="1" applyFill="1" applyBorder="1" applyAlignment="1">
      <alignment horizontal="right" vertical="center"/>
      <protection/>
    </xf>
    <xf numFmtId="185" fontId="4" fillId="21" borderId="11" xfId="244" applyNumberFormat="1" applyFont="1" applyFill="1" applyBorder="1" applyAlignment="1">
      <alignment horizontal="right" vertical="center"/>
    </xf>
    <xf numFmtId="185" fontId="2" fillId="21" borderId="11" xfId="244" applyNumberFormat="1" applyFont="1" applyFill="1" applyBorder="1" applyAlignment="1">
      <alignment horizontal="right" vertical="center"/>
    </xf>
    <xf numFmtId="185" fontId="4" fillId="21" borderId="11" xfId="243" applyNumberFormat="1" applyFont="1" applyFill="1" applyBorder="1" applyAlignment="1">
      <alignment horizontal="right" vertical="center"/>
    </xf>
    <xf numFmtId="185" fontId="2" fillId="21" borderId="11" xfId="243" applyNumberFormat="1" applyFont="1" applyFill="1" applyBorder="1" applyAlignment="1">
      <alignment horizontal="right" vertical="center"/>
    </xf>
    <xf numFmtId="185" fontId="4" fillId="21" borderId="11" xfId="243" applyNumberFormat="1" applyFont="1" applyFill="1" applyBorder="1" applyAlignment="1">
      <alignment horizontal="right" vertical="center" shrinkToFit="1"/>
    </xf>
    <xf numFmtId="185" fontId="2" fillId="21" borderId="11" xfId="243" applyNumberFormat="1" applyFont="1" applyFill="1" applyBorder="1" applyAlignment="1">
      <alignment horizontal="right" vertical="center" shrinkToFit="1"/>
    </xf>
    <xf numFmtId="185" fontId="2" fillId="21" borderId="11" xfId="0" applyNumberFormat="1" applyFont="1" applyFill="1" applyBorder="1" applyAlignment="1" applyProtection="1">
      <alignment horizontal="right" vertical="center"/>
      <protection hidden="1"/>
    </xf>
    <xf numFmtId="0" fontId="4" fillId="0" borderId="0" xfId="0" applyFont="1" applyFill="1" applyBorder="1" applyAlignment="1">
      <alignment/>
    </xf>
    <xf numFmtId="185" fontId="4" fillId="0" borderId="0" xfId="0" applyNumberFormat="1" applyFont="1" applyFill="1" applyBorder="1" applyAlignment="1">
      <alignment/>
    </xf>
    <xf numFmtId="0" fontId="4" fillId="20" borderId="0" xfId="0" applyFont="1" applyFill="1" applyBorder="1" applyAlignment="1">
      <alignment/>
    </xf>
    <xf numFmtId="0" fontId="2" fillId="20" borderId="0" xfId="0" applyFont="1" applyFill="1" applyBorder="1" applyAlignment="1">
      <alignment/>
    </xf>
    <xf numFmtId="185" fontId="2" fillId="0" borderId="0" xfId="0" applyNumberFormat="1" applyFont="1" applyFill="1" applyBorder="1" applyAlignment="1">
      <alignment/>
    </xf>
    <xf numFmtId="0" fontId="2" fillId="20" borderId="0" xfId="0" applyFont="1" applyFill="1" applyAlignment="1">
      <alignment/>
    </xf>
    <xf numFmtId="0" fontId="2" fillId="20" borderId="0" xfId="0" applyFont="1" applyFill="1" applyAlignment="1">
      <alignment horizontal="right"/>
    </xf>
    <xf numFmtId="4" fontId="2" fillId="20" borderId="0" xfId="0" applyNumberFormat="1" applyFont="1" applyFill="1" applyAlignment="1">
      <alignment/>
    </xf>
    <xf numFmtId="185" fontId="2" fillId="20" borderId="0" xfId="0" applyNumberFormat="1" applyFont="1" applyFill="1" applyAlignment="1">
      <alignment/>
    </xf>
    <xf numFmtId="185" fontId="2" fillId="20" borderId="0" xfId="0" applyNumberFormat="1" applyFont="1" applyFill="1" applyAlignment="1">
      <alignment horizontal="right"/>
    </xf>
    <xf numFmtId="49" fontId="3" fillId="20" borderId="11" xfId="73" applyNumberFormat="1" applyFont="1" applyFill="1" applyBorder="1" applyAlignment="1" applyProtection="1">
      <alignment horizontal="center" vertical="center" wrapText="1"/>
      <protection hidden="1"/>
    </xf>
    <xf numFmtId="0" fontId="3" fillId="20" borderId="11" xfId="73" applyFont="1" applyFill="1" applyBorder="1" applyAlignment="1" applyProtection="1">
      <alignment horizontal="center"/>
      <protection hidden="1"/>
    </xf>
    <xf numFmtId="0" fontId="3" fillId="20" borderId="11" xfId="73" applyFont="1" applyFill="1" applyBorder="1" applyAlignment="1" applyProtection="1">
      <alignment horizontal="center" vertical="center"/>
      <protection hidden="1"/>
    </xf>
    <xf numFmtId="185" fontId="2" fillId="20" borderId="11" xfId="0" applyNumberFormat="1" applyFont="1" applyFill="1" applyBorder="1" applyAlignment="1" applyProtection="1">
      <alignment horizontal="right" wrapText="1"/>
      <protection hidden="1"/>
    </xf>
    <xf numFmtId="208" fontId="3" fillId="22" borderId="11" xfId="225" applyNumberFormat="1" applyFont="1" applyFill="1" applyBorder="1" applyAlignment="1" applyProtection="1">
      <alignment horizontal="right" vertical="center"/>
      <protection hidden="1"/>
    </xf>
    <xf numFmtId="185" fontId="2" fillId="22" borderId="11" xfId="244" applyNumberFormat="1" applyFont="1" applyFill="1" applyBorder="1" applyAlignment="1">
      <alignment horizontal="right" vertical="center"/>
    </xf>
    <xf numFmtId="0" fontId="4" fillId="0" borderId="11" xfId="220" applyNumberFormat="1" applyFont="1" applyFill="1" applyBorder="1" applyAlignment="1" applyProtection="1">
      <alignment horizontal="left" vertical="top" wrapText="1"/>
      <protection hidden="1"/>
    </xf>
    <xf numFmtId="185" fontId="2" fillId="0" borderId="11" xfId="244" applyNumberFormat="1" applyFont="1" applyFill="1" applyBorder="1" applyAlignment="1">
      <alignment horizontal="right" vertical="center"/>
    </xf>
    <xf numFmtId="0" fontId="4" fillId="21" borderId="11" xfId="229" applyNumberFormat="1" applyFont="1" applyFill="1" applyBorder="1" applyAlignment="1">
      <alignment horizontal="left" vertical="center" wrapText="1"/>
      <protection/>
    </xf>
    <xf numFmtId="49" fontId="4" fillId="21" borderId="11" xfId="226" applyNumberFormat="1" applyFont="1" applyFill="1" applyBorder="1" applyAlignment="1">
      <alignment horizontal="center" vertical="center"/>
      <protection/>
    </xf>
    <xf numFmtId="4" fontId="4" fillId="0" borderId="0" xfId="0" applyNumberFormat="1" applyFont="1" applyFill="1" applyBorder="1" applyAlignment="1">
      <alignment/>
    </xf>
    <xf numFmtId="201" fontId="4" fillId="21" borderId="11" xfId="244" applyNumberFormat="1" applyFont="1" applyFill="1" applyBorder="1" applyAlignment="1">
      <alignment horizontal="right" vertical="center"/>
    </xf>
    <xf numFmtId="185" fontId="2" fillId="0" borderId="0" xfId="243" applyNumberFormat="1" applyFont="1" applyFill="1" applyBorder="1" applyAlignment="1">
      <alignment horizontal="right" vertical="center"/>
    </xf>
    <xf numFmtId="182" fontId="2" fillId="0" borderId="11" xfId="143" applyNumberFormat="1" applyFont="1" applyFill="1" applyBorder="1" applyAlignment="1" applyProtection="1">
      <alignment horizontal="right"/>
      <protection hidden="1"/>
    </xf>
    <xf numFmtId="182" fontId="2" fillId="0" borderId="16" xfId="143" applyNumberFormat="1" applyFont="1" applyFill="1" applyBorder="1" applyAlignment="1" applyProtection="1">
      <alignment horizontal="right"/>
      <protection hidden="1"/>
    </xf>
    <xf numFmtId="0" fontId="2" fillId="0" borderId="12" xfId="143" applyNumberFormat="1" applyFont="1" applyFill="1" applyBorder="1" applyAlignment="1" applyProtection="1">
      <alignment horizontal="center" wrapText="1"/>
      <protection hidden="1"/>
    </xf>
    <xf numFmtId="182" fontId="2" fillId="0" borderId="12" xfId="143" applyNumberFormat="1" applyFont="1" applyFill="1" applyBorder="1" applyAlignment="1" applyProtection="1">
      <alignment horizontal="right"/>
      <protection hidden="1"/>
    </xf>
    <xf numFmtId="0" fontId="2" fillId="0" borderId="11" xfId="143" applyFont="1" applyFill="1" applyBorder="1" applyAlignment="1" applyProtection="1">
      <alignment wrapText="1"/>
      <protection hidden="1"/>
    </xf>
    <xf numFmtId="0" fontId="2" fillId="0" borderId="11" xfId="143" applyNumberFormat="1" applyFont="1" applyFill="1" applyBorder="1" applyAlignment="1" applyProtection="1">
      <alignment horizontal="center"/>
      <protection hidden="1"/>
    </xf>
    <xf numFmtId="182" fontId="2" fillId="0" borderId="20" xfId="143" applyNumberFormat="1" applyFont="1" applyFill="1" applyBorder="1" applyAlignment="1" applyProtection="1">
      <alignment horizontal="right"/>
      <protection hidden="1"/>
    </xf>
    <xf numFmtId="182" fontId="2" fillId="0" borderId="21" xfId="143" applyNumberFormat="1" applyFont="1" applyFill="1" applyBorder="1" applyAlignment="1" applyProtection="1">
      <alignment horizontal="right"/>
      <protection hidden="1"/>
    </xf>
    <xf numFmtId="0" fontId="2" fillId="0" borderId="21" xfId="143" applyNumberFormat="1" applyFont="1" applyFill="1" applyBorder="1" applyAlignment="1" applyProtection="1">
      <alignment horizontal="center"/>
      <protection hidden="1"/>
    </xf>
    <xf numFmtId="0" fontId="2" fillId="0" borderId="16" xfId="143" applyFont="1" applyFill="1" applyBorder="1" applyAlignment="1" applyProtection="1">
      <alignment wrapText="1"/>
      <protection hidden="1"/>
    </xf>
    <xf numFmtId="0" fontId="2" fillId="0" borderId="16" xfId="143" applyNumberFormat="1" applyFont="1" applyFill="1" applyBorder="1" applyAlignment="1" applyProtection="1">
      <alignment horizontal="center"/>
      <protection hidden="1"/>
    </xf>
    <xf numFmtId="182" fontId="2" fillId="4" borderId="20" xfId="143" applyNumberFormat="1" applyFont="1" applyFill="1" applyBorder="1" applyAlignment="1" applyProtection="1">
      <alignment horizontal="right"/>
      <protection hidden="1"/>
    </xf>
    <xf numFmtId="182" fontId="2" fillId="4" borderId="16" xfId="143" applyNumberFormat="1" applyFont="1" applyFill="1" applyBorder="1" applyAlignment="1" applyProtection="1">
      <alignment horizontal="right"/>
      <protection hidden="1"/>
    </xf>
    <xf numFmtId="182" fontId="2" fillId="4" borderId="21" xfId="143" applyNumberFormat="1" applyFont="1" applyFill="1" applyBorder="1" applyAlignment="1" applyProtection="1">
      <alignment horizontal="right"/>
      <protection hidden="1"/>
    </xf>
    <xf numFmtId="0" fontId="2" fillId="4" borderId="21" xfId="143" applyNumberFormat="1" applyFont="1" applyFill="1" applyBorder="1" applyAlignment="1" applyProtection="1">
      <alignment horizontal="center"/>
      <protection hidden="1"/>
    </xf>
    <xf numFmtId="0" fontId="2" fillId="4" borderId="16" xfId="143" applyFont="1" applyFill="1" applyBorder="1" applyAlignment="1" applyProtection="1">
      <alignment wrapText="1"/>
      <protection hidden="1"/>
    </xf>
    <xf numFmtId="0" fontId="2" fillId="4" borderId="16" xfId="143" applyNumberFormat="1" applyFont="1" applyFill="1" applyBorder="1" applyAlignment="1" applyProtection="1">
      <alignment horizontal="center"/>
      <protection hidden="1"/>
    </xf>
    <xf numFmtId="0" fontId="3" fillId="0" borderId="11" xfId="73" applyFont="1" applyFill="1" applyBorder="1" applyAlignment="1" applyProtection="1">
      <alignment horizontal="center" vertical="center" wrapText="1"/>
      <protection hidden="1"/>
    </xf>
    <xf numFmtId="0" fontId="4" fillId="0" borderId="0" xfId="0" applyFont="1" applyFill="1" applyAlignment="1">
      <alignment horizontal="center"/>
    </xf>
    <xf numFmtId="49" fontId="4" fillId="21" borderId="12" xfId="226" applyNumberFormat="1" applyFont="1" applyFill="1" applyBorder="1" applyAlignment="1">
      <alignment horizontal="center" vertical="center"/>
      <protection/>
    </xf>
    <xf numFmtId="49" fontId="4" fillId="21" borderId="18" xfId="226" applyNumberFormat="1" applyFont="1" applyFill="1" applyBorder="1" applyAlignment="1">
      <alignment horizontal="center" vertical="center"/>
      <protection/>
    </xf>
    <xf numFmtId="49" fontId="4" fillId="21" borderId="17" xfId="226" applyNumberFormat="1" applyFont="1" applyFill="1" applyBorder="1" applyAlignment="1">
      <alignment horizontal="center" vertical="center"/>
      <protection/>
    </xf>
    <xf numFmtId="4" fontId="2" fillId="0" borderId="10" xfId="232" applyNumberFormat="1" applyFont="1" applyFill="1" applyBorder="1" applyAlignment="1">
      <alignment horizontal="center" wrapText="1"/>
      <protection/>
    </xf>
    <xf numFmtId="4" fontId="2" fillId="0" borderId="22" xfId="232" applyNumberFormat="1" applyFont="1" applyFill="1" applyBorder="1" applyAlignment="1">
      <alignment horizontal="center" vertical="center" wrapText="1"/>
      <protection/>
    </xf>
    <xf numFmtId="4" fontId="2" fillId="0" borderId="10" xfId="232" applyNumberFormat="1" applyFont="1" applyFill="1" applyBorder="1" applyAlignment="1">
      <alignment horizontal="center" vertical="center" wrapText="1"/>
      <protection/>
    </xf>
    <xf numFmtId="49" fontId="4" fillId="0" borderId="0" xfId="0" applyNumberFormat="1" applyFont="1" applyFill="1" applyBorder="1" applyAlignment="1">
      <alignment horizontal="center" vertical="center" wrapText="1"/>
    </xf>
    <xf numFmtId="2" fontId="2" fillId="0" borderId="22" xfId="244" applyNumberFormat="1" applyFont="1" applyFill="1" applyBorder="1" applyAlignment="1">
      <alignment horizontal="center" vertical="center" wrapText="1"/>
    </xf>
    <xf numFmtId="49" fontId="4" fillId="0" borderId="12" xfId="244" applyNumberFormat="1" applyFont="1" applyFill="1" applyBorder="1" applyAlignment="1">
      <alignment horizontal="center" vertical="center" wrapText="1"/>
    </xf>
    <xf numFmtId="49" fontId="4" fillId="0" borderId="18" xfId="244" applyNumberFormat="1" applyFont="1" applyFill="1" applyBorder="1" applyAlignment="1">
      <alignment horizontal="center" vertical="center" wrapText="1"/>
    </xf>
    <xf numFmtId="49" fontId="4" fillId="0" borderId="17" xfId="244" applyNumberFormat="1" applyFont="1" applyFill="1" applyBorder="1" applyAlignment="1">
      <alignment horizontal="center" vertical="center" wrapText="1"/>
    </xf>
    <xf numFmtId="0" fontId="3" fillId="0" borderId="21" xfId="73" applyNumberFormat="1" applyFont="1" applyFill="1" applyBorder="1" applyAlignment="1" applyProtection="1">
      <alignment horizontal="center" vertical="center"/>
      <protection hidden="1"/>
    </xf>
    <xf numFmtId="0" fontId="3" fillId="0" borderId="22" xfId="73" applyNumberFormat="1" applyFont="1" applyFill="1" applyBorder="1" applyAlignment="1" applyProtection="1">
      <alignment horizontal="center" vertical="center"/>
      <protection hidden="1"/>
    </xf>
    <xf numFmtId="0" fontId="3" fillId="0" borderId="20" xfId="73" applyNumberFormat="1" applyFont="1" applyFill="1" applyBorder="1" applyAlignment="1" applyProtection="1">
      <alignment horizontal="center" vertical="center"/>
      <protection hidden="1"/>
    </xf>
    <xf numFmtId="49" fontId="2" fillId="0" borderId="21" xfId="232" applyNumberFormat="1" applyFont="1" applyFill="1" applyBorder="1" applyAlignment="1">
      <alignment horizontal="center" vertical="center" wrapText="1"/>
      <protection/>
    </xf>
    <xf numFmtId="49" fontId="2" fillId="0" borderId="22" xfId="232" applyNumberFormat="1" applyFont="1" applyFill="1" applyBorder="1" applyAlignment="1">
      <alignment horizontal="center" vertical="center" wrapText="1"/>
      <protection/>
    </xf>
    <xf numFmtId="49" fontId="2" fillId="0" borderId="20" xfId="232" applyNumberFormat="1" applyFont="1" applyFill="1" applyBorder="1" applyAlignment="1">
      <alignment horizontal="center" vertical="center" wrapText="1"/>
      <protection/>
    </xf>
    <xf numFmtId="2" fontId="2" fillId="0" borderId="12" xfId="244" applyNumberFormat="1" applyFont="1" applyFill="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3" fillId="0" borderId="12" xfId="73" applyNumberFormat="1" applyFont="1" applyFill="1" applyBorder="1" applyAlignment="1" applyProtection="1">
      <alignment horizontal="center" vertical="center"/>
      <protection hidden="1"/>
    </xf>
    <xf numFmtId="0" fontId="3" fillId="0" borderId="18" xfId="73" applyNumberFormat="1" applyFont="1" applyFill="1" applyBorder="1" applyAlignment="1" applyProtection="1">
      <alignment horizontal="center" vertical="center"/>
      <protection hidden="1"/>
    </xf>
    <xf numFmtId="0" fontId="3" fillId="0" borderId="17" xfId="73" applyNumberFormat="1" applyFont="1" applyFill="1" applyBorder="1" applyAlignment="1" applyProtection="1">
      <alignment horizontal="center" vertical="center"/>
      <protection hidden="1"/>
    </xf>
    <xf numFmtId="49" fontId="2" fillId="0" borderId="12" xfId="232" applyNumberFormat="1" applyFont="1" applyFill="1" applyBorder="1" applyAlignment="1">
      <alignment horizontal="center" vertical="center" wrapText="1"/>
      <protection/>
    </xf>
    <xf numFmtId="49" fontId="2" fillId="0" borderId="18" xfId="232" applyNumberFormat="1" applyFont="1" applyFill="1" applyBorder="1" applyAlignment="1">
      <alignment horizontal="center" vertical="center" wrapText="1"/>
      <protection/>
    </xf>
    <xf numFmtId="49" fontId="2" fillId="0" borderId="17" xfId="232" applyNumberFormat="1" applyFont="1" applyFill="1" applyBorder="1" applyAlignment="1">
      <alignment horizontal="center" vertical="center" wrapText="1"/>
      <protection/>
    </xf>
    <xf numFmtId="0" fontId="4" fillId="0" borderId="0" xfId="228" applyNumberFormat="1" applyFont="1" applyFill="1" applyAlignment="1">
      <alignment horizontal="center" vertical="center" wrapText="1"/>
      <protection/>
    </xf>
    <xf numFmtId="49" fontId="4" fillId="0" borderId="16" xfId="232" applyNumberFormat="1" applyFont="1" applyFill="1" applyBorder="1" applyAlignment="1">
      <alignment horizontal="center" vertical="center" wrapText="1"/>
      <protection/>
    </xf>
    <xf numFmtId="49" fontId="4" fillId="0" borderId="13" xfId="232" applyNumberFormat="1" applyFont="1" applyFill="1" applyBorder="1" applyAlignment="1">
      <alignment horizontal="center" vertical="center" wrapText="1"/>
      <protection/>
    </xf>
    <xf numFmtId="49" fontId="4" fillId="0" borderId="21" xfId="244" applyNumberFormat="1" applyFont="1" applyFill="1" applyBorder="1" applyAlignment="1">
      <alignment horizontal="center" vertical="center" wrapText="1"/>
    </xf>
    <xf numFmtId="49" fontId="4" fillId="0" borderId="22" xfId="244" applyNumberFormat="1" applyFont="1" applyFill="1" applyBorder="1" applyAlignment="1">
      <alignment horizontal="center" vertical="center" wrapText="1"/>
    </xf>
    <xf numFmtId="49" fontId="4" fillId="0" borderId="20" xfId="244" applyNumberFormat="1" applyFont="1" applyFill="1" applyBorder="1" applyAlignment="1">
      <alignment horizontal="center" vertical="center" wrapText="1"/>
    </xf>
    <xf numFmtId="49" fontId="4" fillId="0" borderId="14" xfId="244" applyNumberFormat="1" applyFont="1" applyFill="1" applyBorder="1" applyAlignment="1">
      <alignment horizontal="center" vertical="center" wrapText="1"/>
    </xf>
    <xf numFmtId="49" fontId="4" fillId="0" borderId="10" xfId="244" applyNumberFormat="1" applyFont="1" applyFill="1" applyBorder="1" applyAlignment="1">
      <alignment horizontal="center" vertical="center" wrapText="1"/>
    </xf>
    <xf numFmtId="49" fontId="4" fillId="0" borderId="15" xfId="244"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 fontId="4" fillId="0" borderId="21" xfId="0" applyNumberFormat="1" applyFont="1" applyFill="1" applyBorder="1" applyAlignment="1">
      <alignment horizontal="center" vertical="center"/>
    </xf>
    <xf numFmtId="4" fontId="4" fillId="0" borderId="14" xfId="0" applyNumberFormat="1" applyFont="1" applyFill="1" applyBorder="1" applyAlignment="1">
      <alignment horizontal="center" vertical="center"/>
    </xf>
    <xf numFmtId="185" fontId="2" fillId="0" borderId="11" xfId="243" applyNumberFormat="1" applyFont="1" applyFill="1" applyBorder="1" applyAlignment="1">
      <alignment horizontal="right" vertical="center"/>
    </xf>
    <xf numFmtId="185" fontId="2" fillId="0" borderId="11" xfId="243" applyNumberFormat="1" applyFont="1" applyFill="1" applyBorder="1" applyAlignment="1">
      <alignment horizontal="right" vertical="center" shrinkToFit="1"/>
    </xf>
    <xf numFmtId="182" fontId="2" fillId="0" borderId="11" xfId="144" applyNumberFormat="1" applyFont="1" applyFill="1" applyBorder="1" applyAlignment="1" applyProtection="1">
      <alignment horizontal="right"/>
      <protection hidden="1"/>
    </xf>
    <xf numFmtId="182" fontId="2" fillId="0" borderId="12" xfId="144" applyNumberFormat="1" applyFont="1" applyFill="1" applyBorder="1" applyAlignment="1" applyProtection="1">
      <alignment horizontal="right"/>
      <protection hidden="1"/>
    </xf>
    <xf numFmtId="0" fontId="2" fillId="0" borderId="12" xfId="144" applyNumberFormat="1" applyFont="1" applyFill="1" applyBorder="1" applyAlignment="1" applyProtection="1">
      <alignment horizontal="center" wrapText="1"/>
      <protection hidden="1"/>
    </xf>
    <xf numFmtId="0" fontId="2" fillId="0" borderId="11" xfId="144" applyFont="1" applyFill="1" applyBorder="1" applyAlignment="1" applyProtection="1">
      <alignment wrapText="1"/>
      <protection hidden="1"/>
    </xf>
    <xf numFmtId="0" fontId="2" fillId="0" borderId="11" xfId="144" applyNumberFormat="1" applyFont="1" applyFill="1" applyBorder="1" applyAlignment="1" applyProtection="1">
      <alignment horizontal="center"/>
      <protection hidden="1"/>
    </xf>
    <xf numFmtId="0" fontId="2" fillId="0" borderId="21" xfId="144" applyNumberFormat="1" applyFont="1" applyFill="1" applyBorder="1" applyAlignment="1" applyProtection="1">
      <alignment horizontal="center"/>
      <protection hidden="1"/>
    </xf>
    <xf numFmtId="0" fontId="2" fillId="0" borderId="16" xfId="144" applyFont="1" applyFill="1" applyBorder="1" applyAlignment="1" applyProtection="1">
      <alignment wrapText="1"/>
      <protection hidden="1"/>
    </xf>
    <xf numFmtId="0" fontId="2" fillId="0" borderId="16" xfId="144" applyNumberFormat="1" applyFont="1" applyFill="1" applyBorder="1" applyAlignment="1" applyProtection="1">
      <alignment horizontal="center"/>
      <protection hidden="1"/>
    </xf>
    <xf numFmtId="0" fontId="2" fillId="4" borderId="21" xfId="144" applyNumberFormat="1" applyFont="1" applyFill="1" applyBorder="1" applyAlignment="1" applyProtection="1">
      <alignment horizontal="center"/>
      <protection hidden="1"/>
    </xf>
    <xf numFmtId="0" fontId="2" fillId="4" borderId="16" xfId="144" applyFont="1" applyFill="1" applyBorder="1" applyAlignment="1" applyProtection="1">
      <alignment wrapText="1"/>
      <protection hidden="1"/>
    </xf>
    <xf numFmtId="0" fontId="2" fillId="4" borderId="16" xfId="144" applyNumberFormat="1" applyFont="1" applyFill="1" applyBorder="1" applyAlignment="1" applyProtection="1">
      <alignment horizontal="center"/>
      <protection hidden="1"/>
    </xf>
    <xf numFmtId="0" fontId="2" fillId="0" borderId="12" xfId="144" applyNumberFormat="1" applyFont="1" applyFill="1" applyBorder="1" applyAlignment="1" applyProtection="1">
      <alignment horizontal="center"/>
      <protection hidden="1"/>
    </xf>
    <xf numFmtId="0" fontId="2" fillId="0" borderId="11" xfId="144" applyNumberFormat="1" applyFont="1" applyFill="1" applyBorder="1" applyAlignment="1" applyProtection="1">
      <alignment wrapText="1"/>
      <protection hidden="1"/>
    </xf>
    <xf numFmtId="0" fontId="2" fillId="4" borderId="16" xfId="144" applyNumberFormat="1" applyFont="1" applyFill="1" applyBorder="1" applyAlignment="1" applyProtection="1">
      <alignment wrapText="1"/>
      <protection hidden="1"/>
    </xf>
    <xf numFmtId="0" fontId="2" fillId="0" borderId="16" xfId="144" applyNumberFormat="1" applyFont="1" applyFill="1" applyBorder="1" applyAlignment="1" applyProtection="1">
      <alignment wrapText="1"/>
      <protection hidden="1"/>
    </xf>
    <xf numFmtId="185" fontId="2" fillId="0" borderId="12" xfId="144" applyNumberFormat="1" applyFont="1" applyFill="1" applyBorder="1" applyAlignment="1" applyProtection="1">
      <alignment horizontal="right"/>
      <protection hidden="1"/>
    </xf>
    <xf numFmtId="185" fontId="2" fillId="0" borderId="16" xfId="144" applyNumberFormat="1" applyFont="1" applyFill="1" applyBorder="1" applyAlignment="1" applyProtection="1">
      <alignment horizontal="right"/>
      <protection hidden="1"/>
    </xf>
    <xf numFmtId="185" fontId="2" fillId="0" borderId="17" xfId="144" applyNumberFormat="1" applyFont="1" applyFill="1" applyBorder="1" applyAlignment="1" applyProtection="1">
      <alignment horizontal="right"/>
      <protection hidden="1"/>
    </xf>
    <xf numFmtId="185" fontId="2" fillId="4" borderId="21" xfId="144" applyNumberFormat="1" applyFont="1" applyFill="1" applyBorder="1" applyAlignment="1" applyProtection="1">
      <alignment horizontal="right"/>
      <protection hidden="1"/>
    </xf>
    <xf numFmtId="185" fontId="2" fillId="4" borderId="16" xfId="144" applyNumberFormat="1" applyFont="1" applyFill="1" applyBorder="1" applyAlignment="1" applyProtection="1">
      <alignment horizontal="right"/>
      <protection hidden="1"/>
    </xf>
    <xf numFmtId="185" fontId="2" fillId="4" borderId="20" xfId="144" applyNumberFormat="1" applyFont="1" applyFill="1" applyBorder="1" applyAlignment="1" applyProtection="1">
      <alignment horizontal="right"/>
      <protection hidden="1"/>
    </xf>
    <xf numFmtId="185" fontId="2" fillId="0" borderId="21" xfId="144" applyNumberFormat="1" applyFont="1" applyFill="1" applyBorder="1" applyAlignment="1" applyProtection="1">
      <alignment horizontal="right"/>
      <protection hidden="1"/>
    </xf>
    <xf numFmtId="185" fontId="2" fillId="0" borderId="20" xfId="144" applyNumberFormat="1" applyFont="1" applyFill="1" applyBorder="1" applyAlignment="1" applyProtection="1">
      <alignment horizontal="right"/>
      <protection hidden="1"/>
    </xf>
  </cellXfs>
  <cellStyles count="23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2" xfId="56"/>
    <cellStyle name="Обычный 13" xfId="57"/>
    <cellStyle name="Обычный 14" xfId="58"/>
    <cellStyle name="Обычный 15" xfId="59"/>
    <cellStyle name="Обычный 16" xfId="60"/>
    <cellStyle name="Обычный 17" xfId="61"/>
    <cellStyle name="Обычный 18" xfId="62"/>
    <cellStyle name="Обычный 19" xfId="63"/>
    <cellStyle name="Обычный 2" xfId="64"/>
    <cellStyle name="Обычный 2 10" xfId="65"/>
    <cellStyle name="Обычный 2 11" xfId="66"/>
    <cellStyle name="Обычный 2 12" xfId="67"/>
    <cellStyle name="Обычный 2 13" xfId="68"/>
    <cellStyle name="Обычный 2 14" xfId="69"/>
    <cellStyle name="Обычный 2 15" xfId="70"/>
    <cellStyle name="Обычный 2 16" xfId="71"/>
    <cellStyle name="Обычный 2 17" xfId="72"/>
    <cellStyle name="Обычный 2 18" xfId="73"/>
    <cellStyle name="Обычный 2 19" xfId="74"/>
    <cellStyle name="Обычный 2 2" xfId="75"/>
    <cellStyle name="Обычный 2 20" xfId="76"/>
    <cellStyle name="Обычный 2 21" xfId="77"/>
    <cellStyle name="Обычный 2 22" xfId="78"/>
    <cellStyle name="Обычный 2 23" xfId="79"/>
    <cellStyle name="Обычный 2 24" xfId="80"/>
    <cellStyle name="Обычный 2 25" xfId="81"/>
    <cellStyle name="Обычный 2 26" xfId="82"/>
    <cellStyle name="Обычный 2 27" xfId="83"/>
    <cellStyle name="Обычный 2 28" xfId="84"/>
    <cellStyle name="Обычный 2 29" xfId="85"/>
    <cellStyle name="Обычный 2 3" xfId="86"/>
    <cellStyle name="Обычный 2 30" xfId="87"/>
    <cellStyle name="Обычный 2 31" xfId="88"/>
    <cellStyle name="Обычный 2 32" xfId="89"/>
    <cellStyle name="Обычный 2 33" xfId="90"/>
    <cellStyle name="Обычный 2 34" xfId="91"/>
    <cellStyle name="Обычный 2 35" xfId="92"/>
    <cellStyle name="Обычный 2 36" xfId="93"/>
    <cellStyle name="Обычный 2 37" xfId="94"/>
    <cellStyle name="Обычный 2 38" xfId="95"/>
    <cellStyle name="Обычный 2 39" xfId="96"/>
    <cellStyle name="Обычный 2 4" xfId="97"/>
    <cellStyle name="Обычный 2 40" xfId="98"/>
    <cellStyle name="Обычный 2 41" xfId="99"/>
    <cellStyle name="Обычный 2 42" xfId="100"/>
    <cellStyle name="Обычный 2 43" xfId="101"/>
    <cellStyle name="Обычный 2 44" xfId="102"/>
    <cellStyle name="Обычный 2 45" xfId="103"/>
    <cellStyle name="Обычный 2 46" xfId="104"/>
    <cellStyle name="Обычный 2 47" xfId="105"/>
    <cellStyle name="Обычный 2 48" xfId="106"/>
    <cellStyle name="Обычный 2 49" xfId="107"/>
    <cellStyle name="Обычный 2 5" xfId="108"/>
    <cellStyle name="Обычный 2 50" xfId="109"/>
    <cellStyle name="Обычный 2 51" xfId="110"/>
    <cellStyle name="Обычный 2 52" xfId="111"/>
    <cellStyle name="Обычный 2 53" xfId="112"/>
    <cellStyle name="Обычный 2 54" xfId="113"/>
    <cellStyle name="Обычный 2 55" xfId="114"/>
    <cellStyle name="Обычный 2 56" xfId="115"/>
    <cellStyle name="Обычный 2 57" xfId="116"/>
    <cellStyle name="Обычный 2 58" xfId="117"/>
    <cellStyle name="Обычный 2 59" xfId="118"/>
    <cellStyle name="Обычный 2 6" xfId="119"/>
    <cellStyle name="Обычный 2 60" xfId="120"/>
    <cellStyle name="Обычный 2 61" xfId="121"/>
    <cellStyle name="Обычный 2 62" xfId="122"/>
    <cellStyle name="Обычный 2 63" xfId="123"/>
    <cellStyle name="Обычный 2 64" xfId="124"/>
    <cellStyle name="Обычный 2 65" xfId="125"/>
    <cellStyle name="Обычный 2 66" xfId="126"/>
    <cellStyle name="Обычный 2 67" xfId="127"/>
    <cellStyle name="Обычный 2 68" xfId="128"/>
    <cellStyle name="Обычный 2 69" xfId="129"/>
    <cellStyle name="Обычный 2 7" xfId="130"/>
    <cellStyle name="Обычный 2 70" xfId="131"/>
    <cellStyle name="Обычный 2 71" xfId="132"/>
    <cellStyle name="Обычный 2 72" xfId="133"/>
    <cellStyle name="Обычный 2 73" xfId="134"/>
    <cellStyle name="Обычный 2 74" xfId="135"/>
    <cellStyle name="Обычный 2 75" xfId="136"/>
    <cellStyle name="Обычный 2 76" xfId="137"/>
    <cellStyle name="Обычный 2 77" xfId="138"/>
    <cellStyle name="Обычный 2 78" xfId="139"/>
    <cellStyle name="Обычный 2 79" xfId="140"/>
    <cellStyle name="Обычный 2 8" xfId="141"/>
    <cellStyle name="Обычный 2 80" xfId="142"/>
    <cellStyle name="Обычный 2 81" xfId="143"/>
    <cellStyle name="Обычный 2 82" xfId="144"/>
    <cellStyle name="Обычный 2 9" xfId="145"/>
    <cellStyle name="Обычный 20" xfId="146"/>
    <cellStyle name="Обычный 21" xfId="147"/>
    <cellStyle name="Обычный 22" xfId="148"/>
    <cellStyle name="Обычный 23" xfId="149"/>
    <cellStyle name="Обычный 24" xfId="150"/>
    <cellStyle name="Обычный 25" xfId="151"/>
    <cellStyle name="Обычный 26" xfId="152"/>
    <cellStyle name="Обычный 27" xfId="153"/>
    <cellStyle name="Обычный 28" xfId="154"/>
    <cellStyle name="Обычный 29" xfId="155"/>
    <cellStyle name="Обычный 3" xfId="156"/>
    <cellStyle name="Обычный 30" xfId="157"/>
    <cellStyle name="Обычный 31" xfId="158"/>
    <cellStyle name="Обычный 32" xfId="159"/>
    <cellStyle name="Обычный 33" xfId="160"/>
    <cellStyle name="Обычный 34" xfId="161"/>
    <cellStyle name="Обычный 35" xfId="162"/>
    <cellStyle name="Обычный 36" xfId="163"/>
    <cellStyle name="Обычный 37" xfId="164"/>
    <cellStyle name="Обычный 38" xfId="165"/>
    <cellStyle name="Обычный 39" xfId="166"/>
    <cellStyle name="Обычный 4" xfId="167"/>
    <cellStyle name="Обычный 40" xfId="168"/>
    <cellStyle name="Обычный 41" xfId="169"/>
    <cellStyle name="Обычный 42" xfId="170"/>
    <cellStyle name="Обычный 43" xfId="171"/>
    <cellStyle name="Обычный 44" xfId="172"/>
    <cellStyle name="Обычный 45" xfId="173"/>
    <cellStyle name="Обычный 46" xfId="174"/>
    <cellStyle name="Обычный 47" xfId="175"/>
    <cellStyle name="Обычный 48" xfId="176"/>
    <cellStyle name="Обычный 49" xfId="177"/>
    <cellStyle name="Обычный 5" xfId="178"/>
    <cellStyle name="Обычный 50" xfId="179"/>
    <cellStyle name="Обычный 51" xfId="180"/>
    <cellStyle name="Обычный 52" xfId="181"/>
    <cellStyle name="Обычный 53" xfId="182"/>
    <cellStyle name="Обычный 54" xfId="183"/>
    <cellStyle name="Обычный 55" xfId="184"/>
    <cellStyle name="Обычный 56" xfId="185"/>
    <cellStyle name="Обычный 57" xfId="186"/>
    <cellStyle name="Обычный 58" xfId="187"/>
    <cellStyle name="Обычный 59" xfId="188"/>
    <cellStyle name="Обычный 6" xfId="189"/>
    <cellStyle name="Обычный 60" xfId="190"/>
    <cellStyle name="Обычный 61" xfId="191"/>
    <cellStyle name="Обычный 62" xfId="192"/>
    <cellStyle name="Обычный 63" xfId="193"/>
    <cellStyle name="Обычный 64" xfId="194"/>
    <cellStyle name="Обычный 65" xfId="195"/>
    <cellStyle name="Обычный 66" xfId="196"/>
    <cellStyle name="Обычный 67" xfId="197"/>
    <cellStyle name="Обычный 68" xfId="198"/>
    <cellStyle name="Обычный 69" xfId="199"/>
    <cellStyle name="Обычный 7" xfId="200"/>
    <cellStyle name="Обычный 70" xfId="201"/>
    <cellStyle name="Обычный 71" xfId="202"/>
    <cellStyle name="Обычный 72" xfId="203"/>
    <cellStyle name="Обычный 73" xfId="204"/>
    <cellStyle name="Обычный 74" xfId="205"/>
    <cellStyle name="Обычный 75" xfId="206"/>
    <cellStyle name="Обычный 76" xfId="207"/>
    <cellStyle name="Обычный 77" xfId="208"/>
    <cellStyle name="Обычный 78" xfId="209"/>
    <cellStyle name="Обычный 79" xfId="210"/>
    <cellStyle name="Обычный 8" xfId="211"/>
    <cellStyle name="Обычный 80" xfId="212"/>
    <cellStyle name="Обычный 81" xfId="213"/>
    <cellStyle name="Обычный 82" xfId="214"/>
    <cellStyle name="Обычный 83" xfId="215"/>
    <cellStyle name="Обычный 84" xfId="216"/>
    <cellStyle name="Обычный 85" xfId="217"/>
    <cellStyle name="Обычный 86" xfId="218"/>
    <cellStyle name="Обычный 9" xfId="219"/>
    <cellStyle name="Обычный_tmp" xfId="220"/>
    <cellStyle name="Обычный_Tmp_источники" xfId="221"/>
    <cellStyle name="Обычный_tmp_Источники_1" xfId="222"/>
    <cellStyle name="Обычный_tmp_Расходы" xfId="223"/>
    <cellStyle name="Обычный_Бюджет 2007" xfId="224"/>
    <cellStyle name="Обычный_Источники" xfId="225"/>
    <cellStyle name="Обычный_КОНСОЛИДИРОВАННЫЙ БЮДЖЕТ 2005" xfId="226"/>
    <cellStyle name="Обычный_кредиты" xfId="227"/>
    <cellStyle name="Обычный_кредиты_Источники" xfId="228"/>
    <cellStyle name="Обычный_Лист1" xfId="229"/>
    <cellStyle name="Обычный_Прил 1 (уточненная)" xfId="230"/>
    <cellStyle name="Обычный_прил1" xfId="231"/>
    <cellStyle name="Обычный_Приложения  к закону 1-2-4-5 " xfId="232"/>
    <cellStyle name="Followed Hyperlink" xfId="233"/>
    <cellStyle name="Плохой" xfId="234"/>
    <cellStyle name="Пояснение" xfId="235"/>
    <cellStyle name="Примечание" xfId="236"/>
    <cellStyle name="Percent" xfId="237"/>
    <cellStyle name="Связанная ячейка" xfId="238"/>
    <cellStyle name="Стиль 1" xfId="239"/>
    <cellStyle name="Текст предупреждения" xfId="240"/>
    <cellStyle name="Comma" xfId="241"/>
    <cellStyle name="Comma [0]" xfId="242"/>
    <cellStyle name="Финансовый 10" xfId="243"/>
    <cellStyle name="Финансовый_Приложения  к закону 1-2-4-5 " xfId="244"/>
    <cellStyle name="Хороший" xfId="2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D393"/>
      <rgbColor rgb="00FFB98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9"/>
    <pageSetUpPr fitToPage="1"/>
  </sheetPr>
  <dimension ref="A1:V385"/>
  <sheetViews>
    <sheetView showGridLines="0" view="pageBreakPreview" zoomScaleSheetLayoutView="100" zoomScalePageLayoutView="0" workbookViewId="0" topLeftCell="A367">
      <selection activeCell="O373" sqref="O373:O374"/>
    </sheetView>
  </sheetViews>
  <sheetFormatPr defaultColWidth="9.00390625" defaultRowHeight="12.75"/>
  <cols>
    <col min="1" max="1" width="67.875" style="2" customWidth="1"/>
    <col min="2" max="2" width="7.75390625" style="2" bestFit="1" customWidth="1"/>
    <col min="3" max="3" width="5.00390625" style="2" customWidth="1"/>
    <col min="4" max="4" width="1.875" style="2" bestFit="1" customWidth="1"/>
    <col min="5" max="6" width="2.75390625" style="2" bestFit="1" customWidth="1"/>
    <col min="7" max="7" width="4.125" style="2" bestFit="1" customWidth="1"/>
    <col min="8" max="8" width="2.75390625" style="2" bestFit="1" customWidth="1"/>
    <col min="9" max="9" width="6.125" style="4" customWidth="1"/>
    <col min="10" max="10" width="3.625" style="2" bestFit="1" customWidth="1"/>
    <col min="11" max="12" width="15.75390625" style="287" bestFit="1" customWidth="1"/>
    <col min="13" max="13" width="15.75390625" style="84" bestFit="1" customWidth="1"/>
    <col min="14" max="14" width="15.625" style="83" customWidth="1"/>
    <col min="15" max="15" width="9.125" style="83" customWidth="1"/>
    <col min="16" max="16" width="10.375" style="83" bestFit="1" customWidth="1"/>
    <col min="17" max="22" width="9.125" style="83" customWidth="1"/>
    <col min="23" max="16384" width="9.125" style="3" customWidth="1"/>
  </cols>
  <sheetData>
    <row r="1" spans="1:13" ht="15">
      <c r="A1" s="323" t="s">
        <v>431</v>
      </c>
      <c r="B1" s="323"/>
      <c r="C1" s="323"/>
      <c r="D1" s="323"/>
      <c r="E1" s="323"/>
      <c r="F1" s="323"/>
      <c r="G1" s="323"/>
      <c r="H1" s="323"/>
      <c r="I1" s="323"/>
      <c r="J1" s="323"/>
      <c r="K1" s="323"/>
      <c r="L1" s="323"/>
      <c r="M1" s="323"/>
    </row>
    <row r="2" ht="15">
      <c r="L2" s="288"/>
    </row>
    <row r="3" spans="12:13" ht="15">
      <c r="L3" s="288"/>
      <c r="M3" s="85" t="s">
        <v>432</v>
      </c>
    </row>
    <row r="4" spans="12:13" ht="15">
      <c r="L4" s="288" t="s">
        <v>433</v>
      </c>
      <c r="M4" s="86" t="s">
        <v>434</v>
      </c>
    </row>
    <row r="5" spans="1:13" ht="15">
      <c r="A5" s="6" t="s">
        <v>2477</v>
      </c>
      <c r="L5" s="288" t="s">
        <v>435</v>
      </c>
      <c r="M5" s="87" t="s">
        <v>2478</v>
      </c>
    </row>
    <row r="6" spans="1:13" ht="15">
      <c r="A6" s="7"/>
      <c r="L6" s="288" t="s">
        <v>436</v>
      </c>
      <c r="M6" s="88" t="s">
        <v>325</v>
      </c>
    </row>
    <row r="7" spans="1:22" s="10" customFormat="1" ht="21.75" customHeight="1">
      <c r="A7" s="7" t="s">
        <v>326</v>
      </c>
      <c r="B7" s="2"/>
      <c r="C7" s="2"/>
      <c r="D7" s="2"/>
      <c r="E7" s="2"/>
      <c r="F7" s="2"/>
      <c r="G7" s="2"/>
      <c r="H7" s="2"/>
      <c r="I7" s="4"/>
      <c r="J7" s="2"/>
      <c r="K7" s="287"/>
      <c r="L7" s="288" t="s">
        <v>327</v>
      </c>
      <c r="M7" s="88" t="s">
        <v>328</v>
      </c>
      <c r="N7" s="91"/>
      <c r="O7" s="91"/>
      <c r="P7" s="91"/>
      <c r="Q7" s="91"/>
      <c r="R7" s="91"/>
      <c r="S7" s="91"/>
      <c r="T7" s="91"/>
      <c r="U7" s="91"/>
      <c r="V7" s="91"/>
    </row>
    <row r="8" spans="1:22" s="10" customFormat="1" ht="18.75" customHeight="1">
      <c r="A8" s="7" t="s">
        <v>329</v>
      </c>
      <c r="B8" s="2"/>
      <c r="C8" s="2"/>
      <c r="D8" s="2"/>
      <c r="E8" s="2"/>
      <c r="F8" s="2"/>
      <c r="G8" s="2"/>
      <c r="H8" s="2"/>
      <c r="I8" s="4"/>
      <c r="J8" s="2"/>
      <c r="K8" s="287"/>
      <c r="L8" s="288" t="s">
        <v>1076</v>
      </c>
      <c r="M8" s="88" t="s">
        <v>1378</v>
      </c>
      <c r="N8" s="91"/>
      <c r="O8" s="91"/>
      <c r="P8" s="91"/>
      <c r="Q8" s="91"/>
      <c r="R8" s="91"/>
      <c r="S8" s="91"/>
      <c r="T8" s="91"/>
      <c r="U8" s="91"/>
      <c r="V8" s="91"/>
    </row>
    <row r="9" spans="1:22" s="10" customFormat="1" ht="15">
      <c r="A9" s="11" t="s">
        <v>330</v>
      </c>
      <c r="B9" s="2"/>
      <c r="C9" s="2"/>
      <c r="D9" s="2"/>
      <c r="E9" s="2"/>
      <c r="F9" s="2"/>
      <c r="G9" s="2"/>
      <c r="H9" s="2"/>
      <c r="I9" s="4"/>
      <c r="J9" s="2"/>
      <c r="K9" s="287"/>
      <c r="L9" s="288"/>
      <c r="M9" s="86"/>
      <c r="N9" s="91"/>
      <c r="O9" s="91"/>
      <c r="P9" s="91"/>
      <c r="Q9" s="91"/>
      <c r="R9" s="91"/>
      <c r="S9" s="91"/>
      <c r="T9" s="91"/>
      <c r="U9" s="91"/>
      <c r="V9" s="91"/>
    </row>
    <row r="10" spans="1:22" s="10" customFormat="1" ht="15.75" customHeight="1">
      <c r="A10" s="7" t="s">
        <v>944</v>
      </c>
      <c r="B10" s="2"/>
      <c r="C10" s="2"/>
      <c r="D10" s="2"/>
      <c r="E10" s="2"/>
      <c r="F10" s="2"/>
      <c r="G10" s="2"/>
      <c r="H10" s="2"/>
      <c r="I10" s="4"/>
      <c r="J10" s="2"/>
      <c r="K10" s="287"/>
      <c r="L10" s="288" t="s">
        <v>1389</v>
      </c>
      <c r="M10" s="86" t="s">
        <v>1390</v>
      </c>
      <c r="N10" s="91"/>
      <c r="O10" s="91"/>
      <c r="P10" s="91"/>
      <c r="Q10" s="91"/>
      <c r="R10" s="91"/>
      <c r="S10" s="91"/>
      <c r="T10" s="91"/>
      <c r="U10" s="91"/>
      <c r="V10" s="91"/>
    </row>
    <row r="11" spans="1:22" s="10" customFormat="1" ht="15.75" customHeight="1">
      <c r="A11" s="2"/>
      <c r="B11" s="2"/>
      <c r="C11" s="2"/>
      <c r="D11" s="2"/>
      <c r="E11" s="2"/>
      <c r="F11" s="2"/>
      <c r="G11" s="2"/>
      <c r="H11" s="2"/>
      <c r="I11" s="4"/>
      <c r="J11" s="2"/>
      <c r="K11" s="289"/>
      <c r="L11" s="288"/>
      <c r="M11" s="84"/>
      <c r="N11" s="91"/>
      <c r="O11" s="91"/>
      <c r="P11" s="91"/>
      <c r="Q11" s="91"/>
      <c r="R11" s="91"/>
      <c r="S11" s="91"/>
      <c r="T11" s="91"/>
      <c r="U11" s="91"/>
      <c r="V11" s="91"/>
    </row>
    <row r="12" spans="1:22" s="10" customFormat="1" ht="15.75" customHeight="1">
      <c r="A12" s="323" t="s">
        <v>437</v>
      </c>
      <c r="B12" s="323"/>
      <c r="C12" s="323"/>
      <c r="D12" s="323"/>
      <c r="E12" s="323"/>
      <c r="F12" s="323"/>
      <c r="G12" s="323"/>
      <c r="H12" s="323"/>
      <c r="I12" s="323"/>
      <c r="J12" s="323"/>
      <c r="K12" s="323"/>
      <c r="L12" s="323"/>
      <c r="M12" s="323"/>
      <c r="N12" s="91"/>
      <c r="O12" s="91"/>
      <c r="P12" s="91"/>
      <c r="Q12" s="91"/>
      <c r="R12" s="91"/>
      <c r="S12" s="91"/>
      <c r="T12" s="91"/>
      <c r="U12" s="91"/>
      <c r="V12" s="91"/>
    </row>
    <row r="13" spans="1:22" s="10" customFormat="1" ht="15.75" customHeight="1">
      <c r="A13" s="2"/>
      <c r="B13" s="2"/>
      <c r="C13" s="2"/>
      <c r="D13" s="2"/>
      <c r="E13" s="2"/>
      <c r="F13" s="2"/>
      <c r="G13" s="2"/>
      <c r="H13" s="2"/>
      <c r="I13" s="4"/>
      <c r="J13" s="2"/>
      <c r="K13" s="290"/>
      <c r="L13" s="291"/>
      <c r="M13" s="84"/>
      <c r="N13" s="91"/>
      <c r="O13" s="91"/>
      <c r="P13" s="91"/>
      <c r="Q13" s="91"/>
      <c r="R13" s="91"/>
      <c r="S13" s="91"/>
      <c r="T13" s="91"/>
      <c r="U13" s="91"/>
      <c r="V13" s="91"/>
    </row>
    <row r="14" spans="1:22" s="10" customFormat="1" ht="33.75" customHeight="1">
      <c r="A14" s="234" t="s">
        <v>1977</v>
      </c>
      <c r="B14" s="234" t="s">
        <v>439</v>
      </c>
      <c r="C14" s="322" t="s">
        <v>440</v>
      </c>
      <c r="D14" s="322"/>
      <c r="E14" s="322"/>
      <c r="F14" s="322"/>
      <c r="G14" s="322"/>
      <c r="H14" s="322"/>
      <c r="I14" s="322"/>
      <c r="J14" s="322"/>
      <c r="K14" s="292" t="s">
        <v>441</v>
      </c>
      <c r="L14" s="292" t="s">
        <v>442</v>
      </c>
      <c r="M14" s="89" t="s">
        <v>805</v>
      </c>
      <c r="N14" s="91"/>
      <c r="O14" s="91"/>
      <c r="P14" s="91"/>
      <c r="Q14" s="91"/>
      <c r="R14" s="91"/>
      <c r="S14" s="91"/>
      <c r="T14" s="91"/>
      <c r="U14" s="91"/>
      <c r="V14" s="91"/>
    </row>
    <row r="15" spans="1:22" s="12" customFormat="1" ht="15.75">
      <c r="A15" s="235">
        <v>1</v>
      </c>
      <c r="B15" s="235">
        <v>2</v>
      </c>
      <c r="C15" s="236"/>
      <c r="D15" s="237"/>
      <c r="E15" s="237"/>
      <c r="F15" s="237"/>
      <c r="G15" s="238">
        <v>3</v>
      </c>
      <c r="H15" s="237"/>
      <c r="I15" s="237"/>
      <c r="J15" s="239"/>
      <c r="K15" s="293">
        <v>4</v>
      </c>
      <c r="L15" s="294">
        <v>5</v>
      </c>
      <c r="M15" s="89">
        <v>6</v>
      </c>
      <c r="N15" s="282"/>
      <c r="O15" s="282"/>
      <c r="P15" s="282"/>
      <c r="Q15" s="282"/>
      <c r="R15" s="282"/>
      <c r="S15" s="282"/>
      <c r="T15" s="282"/>
      <c r="U15" s="282"/>
      <c r="V15" s="282"/>
    </row>
    <row r="16" spans="1:22" s="12" customFormat="1" ht="15.75">
      <c r="A16" s="300" t="s">
        <v>252</v>
      </c>
      <c r="B16" s="301" t="s">
        <v>253</v>
      </c>
      <c r="C16" s="324" t="s">
        <v>254</v>
      </c>
      <c r="D16" s="325"/>
      <c r="E16" s="325"/>
      <c r="F16" s="325"/>
      <c r="G16" s="325"/>
      <c r="H16" s="325"/>
      <c r="I16" s="325"/>
      <c r="J16" s="326"/>
      <c r="K16" s="274">
        <f>K18+K240</f>
        <v>8439448973.26</v>
      </c>
      <c r="L16" s="274">
        <f>L18+L240</f>
        <v>8362654166.06</v>
      </c>
      <c r="M16" s="274">
        <f aca="true" t="shared" si="0" ref="M16:M22">IF(K16-L16&gt;0,K16-L16,"-")</f>
        <v>76794807.19999981</v>
      </c>
      <c r="N16" s="283"/>
      <c r="O16" s="283"/>
      <c r="P16" s="282"/>
      <c r="Q16" s="282"/>
      <c r="R16" s="282"/>
      <c r="S16" s="282"/>
      <c r="T16" s="282"/>
      <c r="U16" s="282"/>
      <c r="V16" s="282"/>
    </row>
    <row r="17" spans="1:22" s="12" customFormat="1" ht="15.75">
      <c r="A17" s="128" t="s">
        <v>1391</v>
      </c>
      <c r="B17" s="129"/>
      <c r="C17" s="130"/>
      <c r="D17" s="131"/>
      <c r="E17" s="131"/>
      <c r="F17" s="131"/>
      <c r="G17" s="131"/>
      <c r="H17" s="131"/>
      <c r="I17" s="131"/>
      <c r="J17" s="132"/>
      <c r="K17" s="221"/>
      <c r="L17" s="295"/>
      <c r="M17" s="133"/>
      <c r="N17" s="282"/>
      <c r="O17" s="282"/>
      <c r="P17" s="282"/>
      <c r="Q17" s="282"/>
      <c r="R17" s="282"/>
      <c r="S17" s="282"/>
      <c r="T17" s="282"/>
      <c r="U17" s="282"/>
      <c r="V17" s="282"/>
    </row>
    <row r="18" spans="1:22" s="12" customFormat="1" ht="15.75">
      <c r="A18" s="134" t="s">
        <v>256</v>
      </c>
      <c r="B18" s="135" t="s">
        <v>253</v>
      </c>
      <c r="C18" s="136" t="s">
        <v>1392</v>
      </c>
      <c r="D18" s="137" t="s">
        <v>1393</v>
      </c>
      <c r="E18" s="137" t="s">
        <v>1394</v>
      </c>
      <c r="F18" s="137" t="s">
        <v>1394</v>
      </c>
      <c r="G18" s="137" t="s">
        <v>1392</v>
      </c>
      <c r="H18" s="137" t="s">
        <v>1394</v>
      </c>
      <c r="I18" s="137" t="s">
        <v>1395</v>
      </c>
      <c r="J18" s="138" t="s">
        <v>1392</v>
      </c>
      <c r="K18" s="274">
        <f>K19+K44+K50+K68+K83+K115+K128+K154+K165+K234+K78</f>
        <v>1183291228.36</v>
      </c>
      <c r="L18" s="274">
        <f>L19+L44+L50+L68+L83+L115+L128+L154+L165+L234+L78</f>
        <v>1202188403.83</v>
      </c>
      <c r="M18" s="274" t="str">
        <f t="shared" si="0"/>
        <v>-</v>
      </c>
      <c r="N18" s="302"/>
      <c r="O18" s="283"/>
      <c r="P18" s="283"/>
      <c r="Q18" s="282"/>
      <c r="R18" s="282"/>
      <c r="S18" s="282"/>
      <c r="T18" s="282"/>
      <c r="U18" s="282"/>
      <c r="V18" s="282"/>
    </row>
    <row r="19" spans="1:22" s="12" customFormat="1" ht="15.75">
      <c r="A19" s="139" t="s">
        <v>257</v>
      </c>
      <c r="B19" s="135" t="s">
        <v>253</v>
      </c>
      <c r="C19" s="140" t="s">
        <v>1396</v>
      </c>
      <c r="D19" s="141" t="s">
        <v>1393</v>
      </c>
      <c r="E19" s="141" t="s">
        <v>1397</v>
      </c>
      <c r="F19" s="141" t="s">
        <v>1394</v>
      </c>
      <c r="G19" s="141" t="s">
        <v>1392</v>
      </c>
      <c r="H19" s="141" t="s">
        <v>1394</v>
      </c>
      <c r="I19" s="141" t="s">
        <v>1395</v>
      </c>
      <c r="J19" s="142" t="s">
        <v>1392</v>
      </c>
      <c r="K19" s="303">
        <f>K20+K28</f>
        <v>883870839</v>
      </c>
      <c r="L19" s="275">
        <f>L20+L28</f>
        <v>885719162.27</v>
      </c>
      <c r="M19" s="275" t="str">
        <f t="shared" si="0"/>
        <v>-</v>
      </c>
      <c r="N19" s="282"/>
      <c r="O19" s="282"/>
      <c r="P19" s="282"/>
      <c r="Q19" s="282"/>
      <c r="R19" s="282"/>
      <c r="S19" s="282"/>
      <c r="T19" s="282"/>
      <c r="U19" s="282"/>
      <c r="V19" s="282"/>
    </row>
    <row r="20" spans="1:22" s="12" customFormat="1" ht="15.75">
      <c r="A20" s="139" t="s">
        <v>258</v>
      </c>
      <c r="B20" s="135" t="s">
        <v>253</v>
      </c>
      <c r="C20" s="140" t="s">
        <v>1396</v>
      </c>
      <c r="D20" s="141" t="s">
        <v>1393</v>
      </c>
      <c r="E20" s="141" t="s">
        <v>1397</v>
      </c>
      <c r="F20" s="141" t="s">
        <v>1397</v>
      </c>
      <c r="G20" s="141" t="s">
        <v>1392</v>
      </c>
      <c r="H20" s="141" t="s">
        <v>1394</v>
      </c>
      <c r="I20" s="141" t="s">
        <v>1395</v>
      </c>
      <c r="J20" s="142" t="s">
        <v>1398</v>
      </c>
      <c r="K20" s="275">
        <f>K21</f>
        <v>233330151</v>
      </c>
      <c r="L20" s="275">
        <f>L21</f>
        <v>228940754.58</v>
      </c>
      <c r="M20" s="275">
        <f t="shared" si="0"/>
        <v>4389396.419999987</v>
      </c>
      <c r="N20" s="282"/>
      <c r="O20" s="282"/>
      <c r="P20" s="282"/>
      <c r="Q20" s="282"/>
      <c r="R20" s="282"/>
      <c r="S20" s="282"/>
      <c r="T20" s="282"/>
      <c r="U20" s="282"/>
      <c r="V20" s="282"/>
    </row>
    <row r="21" spans="1:22" s="10" customFormat="1" ht="22.5">
      <c r="A21" s="143" t="s">
        <v>1059</v>
      </c>
      <c r="B21" s="144" t="s">
        <v>253</v>
      </c>
      <c r="C21" s="145" t="s">
        <v>1396</v>
      </c>
      <c r="D21" s="146" t="s">
        <v>1393</v>
      </c>
      <c r="E21" s="146" t="s">
        <v>1397</v>
      </c>
      <c r="F21" s="146" t="s">
        <v>1397</v>
      </c>
      <c r="G21" s="146" t="s">
        <v>253</v>
      </c>
      <c r="H21" s="146" t="s">
        <v>1394</v>
      </c>
      <c r="I21" s="146" t="s">
        <v>1395</v>
      </c>
      <c r="J21" s="147" t="s">
        <v>1398</v>
      </c>
      <c r="K21" s="276">
        <f>K22+K26</f>
        <v>233330151</v>
      </c>
      <c r="L21" s="276">
        <f>L22+L26</f>
        <v>228940754.58</v>
      </c>
      <c r="M21" s="276">
        <f t="shared" si="0"/>
        <v>4389396.419999987</v>
      </c>
      <c r="N21" s="91"/>
      <c r="O21" s="91"/>
      <c r="P21" s="91"/>
      <c r="Q21" s="91"/>
      <c r="R21" s="91"/>
      <c r="S21" s="91"/>
      <c r="T21" s="91"/>
      <c r="U21" s="91"/>
      <c r="V21" s="91"/>
    </row>
    <row r="22" spans="1:22" s="10" customFormat="1" ht="22.5">
      <c r="A22" s="143" t="s">
        <v>653</v>
      </c>
      <c r="B22" s="144" t="s">
        <v>253</v>
      </c>
      <c r="C22" s="145" t="s">
        <v>1396</v>
      </c>
      <c r="D22" s="146" t="s">
        <v>1393</v>
      </c>
      <c r="E22" s="146" t="s">
        <v>1397</v>
      </c>
      <c r="F22" s="146" t="s">
        <v>1397</v>
      </c>
      <c r="G22" s="146" t="s">
        <v>1399</v>
      </c>
      <c r="H22" s="146" t="s">
        <v>1400</v>
      </c>
      <c r="I22" s="146" t="s">
        <v>1395</v>
      </c>
      <c r="J22" s="147" t="s">
        <v>1398</v>
      </c>
      <c r="K22" s="299">
        <f>153205247.8+79864903.2</f>
        <v>233070151</v>
      </c>
      <c r="L22" s="276">
        <f>L23+L24+L25</f>
        <v>228671239.58</v>
      </c>
      <c r="M22" s="276">
        <f t="shared" si="0"/>
        <v>4398911.419999987</v>
      </c>
      <c r="N22" s="91"/>
      <c r="O22" s="91"/>
      <c r="P22" s="91"/>
      <c r="Q22" s="91"/>
      <c r="R22" s="91"/>
      <c r="S22" s="91"/>
      <c r="T22" s="91"/>
      <c r="U22" s="91"/>
      <c r="V22" s="91"/>
    </row>
    <row r="23" spans="1:22" s="10" customFormat="1" ht="45">
      <c r="A23" s="143" t="s">
        <v>654</v>
      </c>
      <c r="B23" s="144" t="s">
        <v>253</v>
      </c>
      <c r="C23" s="145" t="s">
        <v>1396</v>
      </c>
      <c r="D23" s="146" t="s">
        <v>1393</v>
      </c>
      <c r="E23" s="146" t="s">
        <v>1397</v>
      </c>
      <c r="F23" s="146" t="s">
        <v>1397</v>
      </c>
      <c r="G23" s="146" t="s">
        <v>1399</v>
      </c>
      <c r="H23" s="146" t="s">
        <v>1400</v>
      </c>
      <c r="I23" s="146" t="s">
        <v>1401</v>
      </c>
      <c r="J23" s="147" t="s">
        <v>1398</v>
      </c>
      <c r="K23" s="221">
        <v>0</v>
      </c>
      <c r="L23" s="221">
        <v>228292053.07</v>
      </c>
      <c r="M23" s="276" t="str">
        <f>IF(K23-L23&gt;0,K23-L23,"-")</f>
        <v>-</v>
      </c>
      <c r="N23" s="91"/>
      <c r="O23" s="91"/>
      <c r="P23" s="91"/>
      <c r="Q23" s="91"/>
      <c r="R23" s="91"/>
      <c r="S23" s="91"/>
      <c r="T23" s="91"/>
      <c r="U23" s="91"/>
      <c r="V23" s="91"/>
    </row>
    <row r="24" spans="1:22" s="10" customFormat="1" ht="33.75">
      <c r="A24" s="143" t="s">
        <v>655</v>
      </c>
      <c r="B24" s="144" t="s">
        <v>253</v>
      </c>
      <c r="C24" s="145" t="s">
        <v>1396</v>
      </c>
      <c r="D24" s="146" t="s">
        <v>1393</v>
      </c>
      <c r="E24" s="146" t="s">
        <v>1397</v>
      </c>
      <c r="F24" s="146" t="s">
        <v>1397</v>
      </c>
      <c r="G24" s="146" t="s">
        <v>1399</v>
      </c>
      <c r="H24" s="146" t="s">
        <v>1400</v>
      </c>
      <c r="I24" s="146" t="s">
        <v>315</v>
      </c>
      <c r="J24" s="147" t="s">
        <v>1398</v>
      </c>
      <c r="K24" s="221">
        <v>0</v>
      </c>
      <c r="L24" s="221">
        <v>375896.05</v>
      </c>
      <c r="M24" s="276" t="str">
        <f aca="true" t="shared" si="1" ref="M24:M104">IF(K24-L24&gt;0,K24-L24,"-")</f>
        <v>-</v>
      </c>
      <c r="N24" s="91"/>
      <c r="O24" s="91"/>
      <c r="P24" s="91"/>
      <c r="Q24" s="91"/>
      <c r="R24" s="91"/>
      <c r="S24" s="91"/>
      <c r="T24" s="91"/>
      <c r="U24" s="91"/>
      <c r="V24" s="91"/>
    </row>
    <row r="25" spans="1:22" s="10" customFormat="1" ht="45">
      <c r="A25" s="143" t="s">
        <v>1020</v>
      </c>
      <c r="B25" s="144" t="s">
        <v>253</v>
      </c>
      <c r="C25" s="145" t="s">
        <v>1396</v>
      </c>
      <c r="D25" s="146" t="s">
        <v>1393</v>
      </c>
      <c r="E25" s="146" t="s">
        <v>1397</v>
      </c>
      <c r="F25" s="146" t="s">
        <v>1397</v>
      </c>
      <c r="G25" s="146" t="s">
        <v>1399</v>
      </c>
      <c r="H25" s="146" t="s">
        <v>1400</v>
      </c>
      <c r="I25" s="146" t="s">
        <v>1402</v>
      </c>
      <c r="J25" s="147" t="s">
        <v>1398</v>
      </c>
      <c r="K25" s="221">
        <v>0</v>
      </c>
      <c r="L25" s="221">
        <v>3290.46</v>
      </c>
      <c r="M25" s="276" t="str">
        <f t="shared" si="1"/>
        <v>-</v>
      </c>
      <c r="N25" s="91"/>
      <c r="O25" s="91"/>
      <c r="P25" s="91"/>
      <c r="Q25" s="91"/>
      <c r="R25" s="91"/>
      <c r="S25" s="91"/>
      <c r="T25" s="91"/>
      <c r="U25" s="91"/>
      <c r="V25" s="91"/>
    </row>
    <row r="26" spans="1:22" s="12" customFormat="1" ht="22.5">
      <c r="A26" s="143" t="s">
        <v>1957</v>
      </c>
      <c r="B26" s="144" t="s">
        <v>253</v>
      </c>
      <c r="C26" s="145" t="s">
        <v>1396</v>
      </c>
      <c r="D26" s="146" t="s">
        <v>1393</v>
      </c>
      <c r="E26" s="146" t="s">
        <v>1397</v>
      </c>
      <c r="F26" s="146" t="s">
        <v>1397</v>
      </c>
      <c r="G26" s="146" t="s">
        <v>1028</v>
      </c>
      <c r="H26" s="146" t="s">
        <v>1400</v>
      </c>
      <c r="I26" s="146" t="s">
        <v>1395</v>
      </c>
      <c r="J26" s="147" t="s">
        <v>1398</v>
      </c>
      <c r="K26" s="276">
        <f>K27</f>
        <v>260000</v>
      </c>
      <c r="L26" s="276">
        <f>L27</f>
        <v>269515</v>
      </c>
      <c r="M26" s="276" t="str">
        <f t="shared" si="1"/>
        <v>-</v>
      </c>
      <c r="N26" s="282"/>
      <c r="O26" s="282"/>
      <c r="P26" s="282"/>
      <c r="Q26" s="282"/>
      <c r="R26" s="282"/>
      <c r="S26" s="282"/>
      <c r="T26" s="282"/>
      <c r="U26" s="282"/>
      <c r="V26" s="282"/>
    </row>
    <row r="27" spans="1:22" s="12" customFormat="1" ht="33.75">
      <c r="A27" s="143" t="s">
        <v>1958</v>
      </c>
      <c r="B27" s="144" t="s">
        <v>253</v>
      </c>
      <c r="C27" s="145" t="s">
        <v>1396</v>
      </c>
      <c r="D27" s="146" t="s">
        <v>1393</v>
      </c>
      <c r="E27" s="146" t="s">
        <v>1397</v>
      </c>
      <c r="F27" s="146" t="s">
        <v>1397</v>
      </c>
      <c r="G27" s="146" t="s">
        <v>1028</v>
      </c>
      <c r="H27" s="146" t="s">
        <v>1400</v>
      </c>
      <c r="I27" s="146" t="s">
        <v>1401</v>
      </c>
      <c r="J27" s="147" t="s">
        <v>1398</v>
      </c>
      <c r="K27" s="299">
        <v>260000</v>
      </c>
      <c r="L27" s="221">
        <v>269515</v>
      </c>
      <c r="M27" s="276" t="str">
        <f t="shared" si="1"/>
        <v>-</v>
      </c>
      <c r="N27" s="282"/>
      <c r="O27" s="282"/>
      <c r="P27" s="282"/>
      <c r="Q27" s="282"/>
      <c r="R27" s="282"/>
      <c r="S27" s="282"/>
      <c r="T27" s="282"/>
      <c r="U27" s="282"/>
      <c r="V27" s="282"/>
    </row>
    <row r="28" spans="1:22" s="12" customFormat="1" ht="15.75">
      <c r="A28" s="139" t="s">
        <v>1060</v>
      </c>
      <c r="B28" s="135" t="s">
        <v>253</v>
      </c>
      <c r="C28" s="140" t="s">
        <v>1396</v>
      </c>
      <c r="D28" s="141" t="s">
        <v>1393</v>
      </c>
      <c r="E28" s="141" t="s">
        <v>1397</v>
      </c>
      <c r="F28" s="141" t="s">
        <v>1400</v>
      </c>
      <c r="G28" s="141" t="s">
        <v>1392</v>
      </c>
      <c r="H28" s="141" t="s">
        <v>1397</v>
      </c>
      <c r="I28" s="141" t="s">
        <v>1395</v>
      </c>
      <c r="J28" s="142" t="s">
        <v>1398</v>
      </c>
      <c r="K28" s="275">
        <f>K29+K34+K38+K42</f>
        <v>650540688</v>
      </c>
      <c r="L28" s="275">
        <f>L29+L34+L38+L42</f>
        <v>656778407.6899999</v>
      </c>
      <c r="M28" s="275" t="str">
        <f t="shared" si="1"/>
        <v>-</v>
      </c>
      <c r="N28" s="282"/>
      <c r="O28" s="282"/>
      <c r="P28" s="282"/>
      <c r="Q28" s="282"/>
      <c r="R28" s="282"/>
      <c r="S28" s="282"/>
      <c r="T28" s="282"/>
      <c r="U28" s="282"/>
      <c r="V28" s="282"/>
    </row>
    <row r="29" spans="1:22" s="12" customFormat="1" ht="45">
      <c r="A29" s="143" t="s">
        <v>492</v>
      </c>
      <c r="B29" s="144" t="s">
        <v>253</v>
      </c>
      <c r="C29" s="145" t="s">
        <v>1396</v>
      </c>
      <c r="D29" s="146" t="s">
        <v>1393</v>
      </c>
      <c r="E29" s="146" t="s">
        <v>1397</v>
      </c>
      <c r="F29" s="146" t="s">
        <v>1400</v>
      </c>
      <c r="G29" s="146" t="s">
        <v>253</v>
      </c>
      <c r="H29" s="146" t="s">
        <v>1397</v>
      </c>
      <c r="I29" s="146" t="s">
        <v>1395</v>
      </c>
      <c r="J29" s="147" t="s">
        <v>1398</v>
      </c>
      <c r="K29" s="299">
        <f>633203733.12+15486621.13</f>
        <v>648690354.25</v>
      </c>
      <c r="L29" s="276">
        <f>L30+L31+L32+L33</f>
        <v>655469218.93</v>
      </c>
      <c r="M29" s="276" t="str">
        <f t="shared" si="1"/>
        <v>-</v>
      </c>
      <c r="N29" s="282"/>
      <c r="O29" s="282"/>
      <c r="P29" s="282"/>
      <c r="Q29" s="282"/>
      <c r="R29" s="282"/>
      <c r="S29" s="282"/>
      <c r="T29" s="282"/>
      <c r="U29" s="282"/>
      <c r="V29" s="282"/>
    </row>
    <row r="30" spans="1:22" s="12" customFormat="1" ht="56.25">
      <c r="A30" s="148" t="s">
        <v>646</v>
      </c>
      <c r="B30" s="144" t="s">
        <v>253</v>
      </c>
      <c r="C30" s="145" t="s">
        <v>1396</v>
      </c>
      <c r="D30" s="146" t="s">
        <v>1393</v>
      </c>
      <c r="E30" s="146" t="s">
        <v>1397</v>
      </c>
      <c r="F30" s="146" t="s">
        <v>1400</v>
      </c>
      <c r="G30" s="146" t="s">
        <v>253</v>
      </c>
      <c r="H30" s="146" t="s">
        <v>1397</v>
      </c>
      <c r="I30" s="146" t="s">
        <v>1401</v>
      </c>
      <c r="J30" s="147" t="s">
        <v>1398</v>
      </c>
      <c r="K30" s="221">
        <v>0</v>
      </c>
      <c r="L30" s="221">
        <v>654907897.29</v>
      </c>
      <c r="M30" s="276" t="str">
        <f t="shared" si="1"/>
        <v>-</v>
      </c>
      <c r="N30" s="282"/>
      <c r="O30" s="282"/>
      <c r="P30" s="282"/>
      <c r="Q30" s="282"/>
      <c r="R30" s="282"/>
      <c r="S30" s="282"/>
      <c r="T30" s="282"/>
      <c r="U30" s="282"/>
      <c r="V30" s="282"/>
    </row>
    <row r="31" spans="1:22" s="12" customFormat="1" ht="45">
      <c r="A31" s="148" t="s">
        <v>945</v>
      </c>
      <c r="B31" s="144" t="s">
        <v>253</v>
      </c>
      <c r="C31" s="145" t="s">
        <v>1396</v>
      </c>
      <c r="D31" s="146" t="s">
        <v>1393</v>
      </c>
      <c r="E31" s="146" t="s">
        <v>1397</v>
      </c>
      <c r="F31" s="146" t="s">
        <v>1400</v>
      </c>
      <c r="G31" s="146" t="s">
        <v>253</v>
      </c>
      <c r="H31" s="146" t="s">
        <v>1397</v>
      </c>
      <c r="I31" s="146" t="s">
        <v>315</v>
      </c>
      <c r="J31" s="147" t="s">
        <v>1398</v>
      </c>
      <c r="K31" s="221">
        <v>0</v>
      </c>
      <c r="L31" s="221">
        <v>91108.81</v>
      </c>
      <c r="M31" s="276" t="str">
        <f t="shared" si="1"/>
        <v>-</v>
      </c>
      <c r="N31" s="282"/>
      <c r="O31" s="282"/>
      <c r="P31" s="282"/>
      <c r="Q31" s="282"/>
      <c r="R31" s="282"/>
      <c r="S31" s="282"/>
      <c r="T31" s="282"/>
      <c r="U31" s="282"/>
      <c r="V31" s="282"/>
    </row>
    <row r="32" spans="1:22" s="12" customFormat="1" ht="56.25">
      <c r="A32" s="148" t="s">
        <v>816</v>
      </c>
      <c r="B32" s="144" t="s">
        <v>253</v>
      </c>
      <c r="C32" s="145" t="s">
        <v>1396</v>
      </c>
      <c r="D32" s="146" t="s">
        <v>1393</v>
      </c>
      <c r="E32" s="146" t="s">
        <v>1397</v>
      </c>
      <c r="F32" s="146" t="s">
        <v>1400</v>
      </c>
      <c r="G32" s="146" t="s">
        <v>253</v>
      </c>
      <c r="H32" s="146" t="s">
        <v>1397</v>
      </c>
      <c r="I32" s="146" t="s">
        <v>1402</v>
      </c>
      <c r="J32" s="147" t="s">
        <v>1398</v>
      </c>
      <c r="K32" s="221">
        <v>0</v>
      </c>
      <c r="L32" s="221">
        <v>470820.26</v>
      </c>
      <c r="M32" s="276" t="str">
        <f t="shared" si="1"/>
        <v>-</v>
      </c>
      <c r="N32" s="282"/>
      <c r="O32" s="282"/>
      <c r="P32" s="282"/>
      <c r="Q32" s="282"/>
      <c r="R32" s="282"/>
      <c r="S32" s="282"/>
      <c r="T32" s="282"/>
      <c r="U32" s="282"/>
      <c r="V32" s="282"/>
    </row>
    <row r="33" spans="1:22" s="12" customFormat="1" ht="45">
      <c r="A33" s="148" t="s">
        <v>1319</v>
      </c>
      <c r="B33" s="144" t="s">
        <v>253</v>
      </c>
      <c r="C33" s="145" t="s">
        <v>1396</v>
      </c>
      <c r="D33" s="146" t="s">
        <v>1393</v>
      </c>
      <c r="E33" s="146" t="s">
        <v>1397</v>
      </c>
      <c r="F33" s="146" t="s">
        <v>1400</v>
      </c>
      <c r="G33" s="146" t="s">
        <v>253</v>
      </c>
      <c r="H33" s="146" t="s">
        <v>1397</v>
      </c>
      <c r="I33" s="146" t="s">
        <v>493</v>
      </c>
      <c r="J33" s="147" t="s">
        <v>1398</v>
      </c>
      <c r="K33" s="221">
        <v>0</v>
      </c>
      <c r="L33" s="221">
        <v>-607.43</v>
      </c>
      <c r="M33" s="276">
        <f t="shared" si="1"/>
        <v>607.43</v>
      </c>
      <c r="N33" s="282"/>
      <c r="O33" s="282"/>
      <c r="P33" s="282"/>
      <c r="Q33" s="282"/>
      <c r="R33" s="282"/>
      <c r="S33" s="282"/>
      <c r="T33" s="282"/>
      <c r="U33" s="282"/>
      <c r="V33" s="282"/>
    </row>
    <row r="34" spans="1:22" s="12" customFormat="1" ht="56.25">
      <c r="A34" s="143" t="s">
        <v>1619</v>
      </c>
      <c r="B34" s="144" t="s">
        <v>253</v>
      </c>
      <c r="C34" s="145" t="s">
        <v>1396</v>
      </c>
      <c r="D34" s="146" t="s">
        <v>1393</v>
      </c>
      <c r="E34" s="146" t="s">
        <v>1397</v>
      </c>
      <c r="F34" s="146" t="s">
        <v>1400</v>
      </c>
      <c r="G34" s="146" t="s">
        <v>494</v>
      </c>
      <c r="H34" s="146" t="s">
        <v>1397</v>
      </c>
      <c r="I34" s="146" t="s">
        <v>1395</v>
      </c>
      <c r="J34" s="147" t="s">
        <v>1398</v>
      </c>
      <c r="K34" s="221">
        <v>919802.25</v>
      </c>
      <c r="L34" s="276">
        <f>L35+L36+L37</f>
        <v>536509.18</v>
      </c>
      <c r="M34" s="276">
        <f t="shared" si="1"/>
        <v>383293.06999999995</v>
      </c>
      <c r="N34" s="282"/>
      <c r="O34" s="282"/>
      <c r="P34" s="282"/>
      <c r="Q34" s="282"/>
      <c r="R34" s="282"/>
      <c r="S34" s="282"/>
      <c r="T34" s="282"/>
      <c r="U34" s="282"/>
      <c r="V34" s="282"/>
    </row>
    <row r="35" spans="1:22" s="10" customFormat="1" ht="78.75">
      <c r="A35" s="148" t="s">
        <v>817</v>
      </c>
      <c r="B35" s="144" t="s">
        <v>253</v>
      </c>
      <c r="C35" s="145" t="s">
        <v>1396</v>
      </c>
      <c r="D35" s="146" t="s">
        <v>1393</v>
      </c>
      <c r="E35" s="146" t="s">
        <v>1397</v>
      </c>
      <c r="F35" s="146" t="s">
        <v>1400</v>
      </c>
      <c r="G35" s="146" t="s">
        <v>494</v>
      </c>
      <c r="H35" s="146" t="s">
        <v>1397</v>
      </c>
      <c r="I35" s="146" t="s">
        <v>1401</v>
      </c>
      <c r="J35" s="147" t="s">
        <v>1398</v>
      </c>
      <c r="K35" s="221">
        <v>0</v>
      </c>
      <c r="L35" s="221">
        <v>521461.69</v>
      </c>
      <c r="M35" s="276" t="str">
        <f t="shared" si="1"/>
        <v>-</v>
      </c>
      <c r="N35" s="91"/>
      <c r="O35" s="91"/>
      <c r="P35" s="91"/>
      <c r="Q35" s="91"/>
      <c r="R35" s="91"/>
      <c r="S35" s="91"/>
      <c r="T35" s="91"/>
      <c r="U35" s="91"/>
      <c r="V35" s="91"/>
    </row>
    <row r="36" spans="1:22" s="10" customFormat="1" ht="67.5">
      <c r="A36" s="148" t="s">
        <v>818</v>
      </c>
      <c r="B36" s="144" t="s">
        <v>253</v>
      </c>
      <c r="C36" s="145" t="s">
        <v>1396</v>
      </c>
      <c r="D36" s="146" t="s">
        <v>1393</v>
      </c>
      <c r="E36" s="146" t="s">
        <v>1397</v>
      </c>
      <c r="F36" s="146" t="s">
        <v>1400</v>
      </c>
      <c r="G36" s="146" t="s">
        <v>494</v>
      </c>
      <c r="H36" s="146" t="s">
        <v>1397</v>
      </c>
      <c r="I36" s="146" t="s">
        <v>315</v>
      </c>
      <c r="J36" s="147" t="s">
        <v>1398</v>
      </c>
      <c r="K36" s="221">
        <v>0</v>
      </c>
      <c r="L36" s="221">
        <v>10006.95</v>
      </c>
      <c r="M36" s="276" t="str">
        <f t="shared" si="1"/>
        <v>-</v>
      </c>
      <c r="N36" s="91"/>
      <c r="O36" s="91"/>
      <c r="P36" s="91"/>
      <c r="Q36" s="91"/>
      <c r="R36" s="91"/>
      <c r="S36" s="91"/>
      <c r="T36" s="91"/>
      <c r="U36" s="91"/>
      <c r="V36" s="91"/>
    </row>
    <row r="37" spans="1:22" s="10" customFormat="1" ht="78.75">
      <c r="A37" s="148" t="s">
        <v>1959</v>
      </c>
      <c r="B37" s="144" t="s">
        <v>253</v>
      </c>
      <c r="C37" s="145" t="s">
        <v>1396</v>
      </c>
      <c r="D37" s="146" t="s">
        <v>1393</v>
      </c>
      <c r="E37" s="146" t="s">
        <v>1397</v>
      </c>
      <c r="F37" s="146" t="s">
        <v>1400</v>
      </c>
      <c r="G37" s="146" t="s">
        <v>494</v>
      </c>
      <c r="H37" s="146" t="s">
        <v>1397</v>
      </c>
      <c r="I37" s="146" t="s">
        <v>1402</v>
      </c>
      <c r="J37" s="147" t="s">
        <v>1398</v>
      </c>
      <c r="K37" s="221">
        <v>0</v>
      </c>
      <c r="L37" s="221">
        <v>5040.54</v>
      </c>
      <c r="M37" s="276" t="str">
        <f t="shared" si="1"/>
        <v>-</v>
      </c>
      <c r="N37" s="91"/>
      <c r="O37" s="91"/>
      <c r="P37" s="91"/>
      <c r="Q37" s="91"/>
      <c r="R37" s="91"/>
      <c r="S37" s="91"/>
      <c r="T37" s="91"/>
      <c r="U37" s="91"/>
      <c r="V37" s="91"/>
    </row>
    <row r="38" spans="1:22" s="10" customFormat="1" ht="22.5">
      <c r="A38" s="143" t="s">
        <v>1620</v>
      </c>
      <c r="B38" s="144" t="s">
        <v>253</v>
      </c>
      <c r="C38" s="145" t="s">
        <v>1396</v>
      </c>
      <c r="D38" s="146" t="s">
        <v>1393</v>
      </c>
      <c r="E38" s="146" t="s">
        <v>1397</v>
      </c>
      <c r="F38" s="146" t="s">
        <v>1400</v>
      </c>
      <c r="G38" s="146" t="s">
        <v>639</v>
      </c>
      <c r="H38" s="146" t="s">
        <v>1397</v>
      </c>
      <c r="I38" s="146" t="s">
        <v>1395</v>
      </c>
      <c r="J38" s="147" t="s">
        <v>1398</v>
      </c>
      <c r="K38" s="299">
        <f>526750+400000</f>
        <v>926750</v>
      </c>
      <c r="L38" s="276">
        <f>L39+L40+L41</f>
        <v>768898.0800000001</v>
      </c>
      <c r="M38" s="276">
        <f t="shared" si="1"/>
        <v>157851.91999999993</v>
      </c>
      <c r="N38" s="91"/>
      <c r="O38" s="91"/>
      <c r="P38" s="91"/>
      <c r="Q38" s="91"/>
      <c r="R38" s="91"/>
      <c r="S38" s="91"/>
      <c r="T38" s="91"/>
      <c r="U38" s="91"/>
      <c r="V38" s="91"/>
    </row>
    <row r="39" spans="1:22" s="10" customFormat="1" ht="45">
      <c r="A39" s="148" t="s">
        <v>819</v>
      </c>
      <c r="B39" s="144" t="s">
        <v>253</v>
      </c>
      <c r="C39" s="145" t="s">
        <v>1396</v>
      </c>
      <c r="D39" s="146" t="s">
        <v>1393</v>
      </c>
      <c r="E39" s="146" t="s">
        <v>1397</v>
      </c>
      <c r="F39" s="146" t="s">
        <v>1400</v>
      </c>
      <c r="G39" s="146" t="s">
        <v>639</v>
      </c>
      <c r="H39" s="146" t="s">
        <v>1397</v>
      </c>
      <c r="I39" s="146" t="s">
        <v>1401</v>
      </c>
      <c r="J39" s="147" t="s">
        <v>1398</v>
      </c>
      <c r="K39" s="221">
        <v>0</v>
      </c>
      <c r="L39" s="221">
        <v>734135.4</v>
      </c>
      <c r="M39" s="276" t="str">
        <f t="shared" si="1"/>
        <v>-</v>
      </c>
      <c r="N39" s="91"/>
      <c r="O39" s="91"/>
      <c r="P39" s="91"/>
      <c r="Q39" s="91"/>
      <c r="R39" s="91"/>
      <c r="S39" s="91"/>
      <c r="T39" s="91"/>
      <c r="U39" s="91"/>
      <c r="V39" s="91"/>
    </row>
    <row r="40" spans="1:22" s="10" customFormat="1" ht="33.75">
      <c r="A40" s="148" t="s">
        <v>820</v>
      </c>
      <c r="B40" s="144" t="s">
        <v>253</v>
      </c>
      <c r="C40" s="145" t="s">
        <v>1396</v>
      </c>
      <c r="D40" s="146" t="s">
        <v>1393</v>
      </c>
      <c r="E40" s="146" t="s">
        <v>1397</v>
      </c>
      <c r="F40" s="146" t="s">
        <v>1400</v>
      </c>
      <c r="G40" s="146" t="s">
        <v>639</v>
      </c>
      <c r="H40" s="146" t="s">
        <v>1397</v>
      </c>
      <c r="I40" s="146" t="s">
        <v>315</v>
      </c>
      <c r="J40" s="147" t="s">
        <v>1398</v>
      </c>
      <c r="K40" s="221">
        <v>0</v>
      </c>
      <c r="L40" s="221">
        <v>11473.79</v>
      </c>
      <c r="M40" s="276" t="str">
        <f t="shared" si="1"/>
        <v>-</v>
      </c>
      <c r="N40" s="91"/>
      <c r="O40" s="91"/>
      <c r="P40" s="91"/>
      <c r="Q40" s="91"/>
      <c r="R40" s="91"/>
      <c r="S40" s="91"/>
      <c r="T40" s="91"/>
      <c r="U40" s="91"/>
      <c r="V40" s="91"/>
    </row>
    <row r="41" spans="1:22" s="12" customFormat="1" ht="45">
      <c r="A41" s="148" t="s">
        <v>6</v>
      </c>
      <c r="B41" s="144" t="s">
        <v>253</v>
      </c>
      <c r="C41" s="145" t="s">
        <v>1396</v>
      </c>
      <c r="D41" s="146" t="s">
        <v>1393</v>
      </c>
      <c r="E41" s="146" t="s">
        <v>1397</v>
      </c>
      <c r="F41" s="146" t="s">
        <v>1400</v>
      </c>
      <c r="G41" s="146" t="s">
        <v>639</v>
      </c>
      <c r="H41" s="146" t="s">
        <v>1397</v>
      </c>
      <c r="I41" s="146" t="s">
        <v>1402</v>
      </c>
      <c r="J41" s="147" t="s">
        <v>1398</v>
      </c>
      <c r="K41" s="221">
        <v>0</v>
      </c>
      <c r="L41" s="221">
        <v>23288.89</v>
      </c>
      <c r="M41" s="276" t="str">
        <f t="shared" si="1"/>
        <v>-</v>
      </c>
      <c r="N41" s="282"/>
      <c r="O41" s="282"/>
      <c r="P41" s="282"/>
      <c r="Q41" s="282"/>
      <c r="R41" s="282"/>
      <c r="S41" s="282"/>
      <c r="T41" s="282"/>
      <c r="U41" s="282"/>
      <c r="V41" s="282"/>
    </row>
    <row r="42" spans="1:22" s="12" customFormat="1" ht="45">
      <c r="A42" s="143" t="s">
        <v>1621</v>
      </c>
      <c r="B42" s="144" t="s">
        <v>253</v>
      </c>
      <c r="C42" s="145" t="s">
        <v>1396</v>
      </c>
      <c r="D42" s="146" t="s">
        <v>1393</v>
      </c>
      <c r="E42" s="146" t="s">
        <v>1397</v>
      </c>
      <c r="F42" s="146" t="s">
        <v>1400</v>
      </c>
      <c r="G42" s="146" t="s">
        <v>672</v>
      </c>
      <c r="H42" s="146" t="s">
        <v>1397</v>
      </c>
      <c r="I42" s="146" t="s">
        <v>1395</v>
      </c>
      <c r="J42" s="147" t="s">
        <v>1398</v>
      </c>
      <c r="K42" s="299">
        <f>1806+1975.5</f>
        <v>3781.5</v>
      </c>
      <c r="L42" s="276">
        <f>L43</f>
        <v>3781.5</v>
      </c>
      <c r="M42" s="276" t="str">
        <f t="shared" si="1"/>
        <v>-</v>
      </c>
      <c r="N42" s="282"/>
      <c r="O42" s="282"/>
      <c r="P42" s="282"/>
      <c r="Q42" s="282"/>
      <c r="R42" s="282"/>
      <c r="S42" s="282"/>
      <c r="T42" s="282"/>
      <c r="U42" s="282"/>
      <c r="V42" s="282"/>
    </row>
    <row r="43" spans="1:22" s="12" customFormat="1" ht="67.5">
      <c r="A43" s="143" t="s">
        <v>2206</v>
      </c>
      <c r="B43" s="144" t="s">
        <v>253</v>
      </c>
      <c r="C43" s="145" t="s">
        <v>1396</v>
      </c>
      <c r="D43" s="146" t="s">
        <v>1393</v>
      </c>
      <c r="E43" s="146" t="s">
        <v>1397</v>
      </c>
      <c r="F43" s="146" t="s">
        <v>1400</v>
      </c>
      <c r="G43" s="146" t="s">
        <v>672</v>
      </c>
      <c r="H43" s="146" t="s">
        <v>1397</v>
      </c>
      <c r="I43" s="146" t="s">
        <v>1401</v>
      </c>
      <c r="J43" s="147" t="s">
        <v>1398</v>
      </c>
      <c r="K43" s="221">
        <v>0</v>
      </c>
      <c r="L43" s="221">
        <v>3781.5</v>
      </c>
      <c r="M43" s="276" t="str">
        <f t="shared" si="1"/>
        <v>-</v>
      </c>
      <c r="N43" s="282"/>
      <c r="O43" s="282"/>
      <c r="P43" s="282"/>
      <c r="Q43" s="282"/>
      <c r="R43" s="282"/>
      <c r="S43" s="282"/>
      <c r="T43" s="282"/>
      <c r="U43" s="282"/>
      <c r="V43" s="282"/>
    </row>
    <row r="44" spans="1:22" s="12" customFormat="1" ht="22.5">
      <c r="A44" s="139" t="s">
        <v>615</v>
      </c>
      <c r="B44" s="135" t="s">
        <v>253</v>
      </c>
      <c r="C44" s="140">
        <v>100</v>
      </c>
      <c r="D44" s="141" t="s">
        <v>1393</v>
      </c>
      <c r="E44" s="141" t="s">
        <v>609</v>
      </c>
      <c r="F44" s="141" t="s">
        <v>1394</v>
      </c>
      <c r="G44" s="141" t="s">
        <v>1392</v>
      </c>
      <c r="H44" s="141" t="s">
        <v>1394</v>
      </c>
      <c r="I44" s="141" t="s">
        <v>1395</v>
      </c>
      <c r="J44" s="142" t="s">
        <v>1392</v>
      </c>
      <c r="K44" s="275">
        <f>K45</f>
        <v>8352200</v>
      </c>
      <c r="L44" s="275">
        <f>L45</f>
        <v>9029797.72</v>
      </c>
      <c r="M44" s="275" t="str">
        <f t="shared" si="1"/>
        <v>-</v>
      </c>
      <c r="N44" s="282"/>
      <c r="O44" s="282"/>
      <c r="P44" s="282"/>
      <c r="Q44" s="282"/>
      <c r="R44" s="282"/>
      <c r="S44" s="282"/>
      <c r="T44" s="282"/>
      <c r="U44" s="282"/>
      <c r="V44" s="282"/>
    </row>
    <row r="45" spans="1:22" s="12" customFormat="1" ht="22.5">
      <c r="A45" s="139" t="s">
        <v>616</v>
      </c>
      <c r="B45" s="135" t="s">
        <v>253</v>
      </c>
      <c r="C45" s="140">
        <v>100</v>
      </c>
      <c r="D45" s="141" t="s">
        <v>1393</v>
      </c>
      <c r="E45" s="141" t="s">
        <v>609</v>
      </c>
      <c r="F45" s="141" t="s">
        <v>1400</v>
      </c>
      <c r="G45" s="141" t="s">
        <v>1392</v>
      </c>
      <c r="H45" s="141" t="s">
        <v>1397</v>
      </c>
      <c r="I45" s="141" t="s">
        <v>1395</v>
      </c>
      <c r="J45" s="142" t="s">
        <v>1398</v>
      </c>
      <c r="K45" s="275">
        <f>K46+K47+K48+K49</f>
        <v>8352200</v>
      </c>
      <c r="L45" s="275">
        <f>L46+L47+L48+L49</f>
        <v>9029797.72</v>
      </c>
      <c r="M45" s="275" t="str">
        <f>IF(K45-L45&gt;0,K45-L45,"-")</f>
        <v>-</v>
      </c>
      <c r="N45" s="282"/>
      <c r="O45" s="282"/>
      <c r="P45" s="282"/>
      <c r="Q45" s="282"/>
      <c r="R45" s="282"/>
      <c r="S45" s="282"/>
      <c r="T45" s="282"/>
      <c r="U45" s="282"/>
      <c r="V45" s="282"/>
    </row>
    <row r="46" spans="1:22" s="12" customFormat="1" ht="33.75">
      <c r="A46" s="143" t="s">
        <v>483</v>
      </c>
      <c r="B46" s="144" t="s">
        <v>253</v>
      </c>
      <c r="C46" s="145">
        <v>100</v>
      </c>
      <c r="D46" s="146" t="s">
        <v>1393</v>
      </c>
      <c r="E46" s="146" t="s">
        <v>609</v>
      </c>
      <c r="F46" s="146" t="s">
        <v>1400</v>
      </c>
      <c r="G46" s="146" t="s">
        <v>617</v>
      </c>
      <c r="H46" s="146" t="s">
        <v>1397</v>
      </c>
      <c r="I46" s="146" t="s">
        <v>1395</v>
      </c>
      <c r="J46" s="147" t="s">
        <v>1398</v>
      </c>
      <c r="K46" s="221">
        <v>3103200</v>
      </c>
      <c r="L46" s="221">
        <v>4023364.75</v>
      </c>
      <c r="M46" s="276" t="str">
        <f t="shared" si="1"/>
        <v>-</v>
      </c>
      <c r="N46" s="282"/>
      <c r="O46" s="282"/>
      <c r="P46" s="282"/>
      <c r="Q46" s="282"/>
      <c r="R46" s="282"/>
      <c r="S46" s="282"/>
      <c r="T46" s="282"/>
      <c r="U46" s="282"/>
      <c r="V46" s="282"/>
    </row>
    <row r="47" spans="1:22" s="10" customFormat="1" ht="45">
      <c r="A47" s="143" t="s">
        <v>484</v>
      </c>
      <c r="B47" s="144" t="s">
        <v>253</v>
      </c>
      <c r="C47" s="145">
        <v>100</v>
      </c>
      <c r="D47" s="146" t="s">
        <v>1393</v>
      </c>
      <c r="E47" s="146" t="s">
        <v>609</v>
      </c>
      <c r="F47" s="146" t="s">
        <v>1400</v>
      </c>
      <c r="G47" s="146" t="s">
        <v>66</v>
      </c>
      <c r="H47" s="146" t="s">
        <v>1397</v>
      </c>
      <c r="I47" s="146" t="s">
        <v>1395</v>
      </c>
      <c r="J47" s="147" t="s">
        <v>1398</v>
      </c>
      <c r="K47" s="221">
        <v>24400</v>
      </c>
      <c r="L47" s="221">
        <v>38747.66</v>
      </c>
      <c r="M47" s="276" t="str">
        <f t="shared" si="1"/>
        <v>-</v>
      </c>
      <c r="N47" s="91"/>
      <c r="O47" s="91"/>
      <c r="P47" s="91"/>
      <c r="Q47" s="91"/>
      <c r="R47" s="91"/>
      <c r="S47" s="91"/>
      <c r="T47" s="91"/>
      <c r="U47" s="91"/>
      <c r="V47" s="91"/>
    </row>
    <row r="48" spans="1:22" s="10" customFormat="1" ht="45">
      <c r="A48" s="143" t="s">
        <v>1068</v>
      </c>
      <c r="B48" s="144" t="s">
        <v>253</v>
      </c>
      <c r="C48" s="145">
        <v>100</v>
      </c>
      <c r="D48" s="146" t="s">
        <v>1393</v>
      </c>
      <c r="E48" s="146" t="s">
        <v>609</v>
      </c>
      <c r="F48" s="146" t="s">
        <v>1400</v>
      </c>
      <c r="G48" s="146" t="s">
        <v>595</v>
      </c>
      <c r="H48" s="146" t="s">
        <v>1397</v>
      </c>
      <c r="I48" s="146" t="s">
        <v>1395</v>
      </c>
      <c r="J48" s="147" t="s">
        <v>1398</v>
      </c>
      <c r="K48" s="221">
        <v>5706700</v>
      </c>
      <c r="L48" s="221">
        <v>5869147.26</v>
      </c>
      <c r="M48" s="276" t="str">
        <f t="shared" si="1"/>
        <v>-</v>
      </c>
      <c r="N48" s="91"/>
      <c r="O48" s="91"/>
      <c r="P48" s="91"/>
      <c r="Q48" s="91"/>
      <c r="R48" s="91"/>
      <c r="S48" s="91"/>
      <c r="T48" s="91"/>
      <c r="U48" s="91"/>
      <c r="V48" s="91"/>
    </row>
    <row r="49" spans="1:22" s="10" customFormat="1" ht="33.75">
      <c r="A49" s="143" t="s">
        <v>1069</v>
      </c>
      <c r="B49" s="144" t="s">
        <v>253</v>
      </c>
      <c r="C49" s="145">
        <v>100</v>
      </c>
      <c r="D49" s="146" t="s">
        <v>1393</v>
      </c>
      <c r="E49" s="146" t="s">
        <v>609</v>
      </c>
      <c r="F49" s="146" t="s">
        <v>1400</v>
      </c>
      <c r="G49" s="146" t="s">
        <v>605</v>
      </c>
      <c r="H49" s="146" t="s">
        <v>1397</v>
      </c>
      <c r="I49" s="146" t="s">
        <v>1395</v>
      </c>
      <c r="J49" s="147" t="s">
        <v>1398</v>
      </c>
      <c r="K49" s="221">
        <v>-482100</v>
      </c>
      <c r="L49" s="221">
        <v>-901461.95</v>
      </c>
      <c r="M49" s="276" t="str">
        <f>IF(K49-L49&lt;0,K49-L49,"-")</f>
        <v>-</v>
      </c>
      <c r="N49" s="91"/>
      <c r="O49" s="91"/>
      <c r="P49" s="91"/>
      <c r="Q49" s="91"/>
      <c r="R49" s="91"/>
      <c r="S49" s="91"/>
      <c r="T49" s="91"/>
      <c r="U49" s="91"/>
      <c r="V49" s="91"/>
    </row>
    <row r="50" spans="1:22" s="10" customFormat="1" ht="15">
      <c r="A50" s="139" t="s">
        <v>1061</v>
      </c>
      <c r="B50" s="135" t="s">
        <v>253</v>
      </c>
      <c r="C50" s="140" t="s">
        <v>1396</v>
      </c>
      <c r="D50" s="141" t="s">
        <v>1393</v>
      </c>
      <c r="E50" s="141" t="s">
        <v>673</v>
      </c>
      <c r="F50" s="141" t="s">
        <v>1394</v>
      </c>
      <c r="G50" s="141" t="s">
        <v>1392</v>
      </c>
      <c r="H50" s="141" t="s">
        <v>1394</v>
      </c>
      <c r="I50" s="141" t="s">
        <v>1395</v>
      </c>
      <c r="J50" s="142" t="s">
        <v>1392</v>
      </c>
      <c r="K50" s="275">
        <f>K51+K60+K64</f>
        <v>25913896.81</v>
      </c>
      <c r="L50" s="275">
        <f>L51+L60+L64</f>
        <v>25567477.7</v>
      </c>
      <c r="M50" s="275">
        <f t="shared" si="1"/>
        <v>346419.1099999994</v>
      </c>
      <c r="N50" s="91"/>
      <c r="O50" s="91"/>
      <c r="P50" s="91"/>
      <c r="Q50" s="91"/>
      <c r="R50" s="91"/>
      <c r="S50" s="91"/>
      <c r="T50" s="91"/>
      <c r="U50" s="91"/>
      <c r="V50" s="91"/>
    </row>
    <row r="51" spans="1:22" s="10" customFormat="1" ht="15">
      <c r="A51" s="139" t="s">
        <v>1062</v>
      </c>
      <c r="B51" s="135" t="s">
        <v>253</v>
      </c>
      <c r="C51" s="140" t="s">
        <v>1396</v>
      </c>
      <c r="D51" s="141" t="s">
        <v>1393</v>
      </c>
      <c r="E51" s="141" t="s">
        <v>673</v>
      </c>
      <c r="F51" s="141" t="s">
        <v>1400</v>
      </c>
      <c r="G51" s="141" t="s">
        <v>1392</v>
      </c>
      <c r="H51" s="141" t="s">
        <v>1400</v>
      </c>
      <c r="I51" s="141" t="s">
        <v>1395</v>
      </c>
      <c r="J51" s="142" t="s">
        <v>1398</v>
      </c>
      <c r="K51" s="275">
        <f>K52+K56</f>
        <v>23570708.759999998</v>
      </c>
      <c r="L51" s="275">
        <f>L52+L56</f>
        <v>23443120.69</v>
      </c>
      <c r="M51" s="275">
        <f t="shared" si="1"/>
        <v>127588.06999999657</v>
      </c>
      <c r="N51" s="91"/>
      <c r="O51" s="91"/>
      <c r="P51" s="91"/>
      <c r="Q51" s="91"/>
      <c r="R51" s="91"/>
      <c r="S51" s="91"/>
      <c r="T51" s="91"/>
      <c r="U51" s="91"/>
      <c r="V51" s="91"/>
    </row>
    <row r="52" spans="1:22" s="10" customFormat="1" ht="15">
      <c r="A52" s="143" t="s">
        <v>1062</v>
      </c>
      <c r="B52" s="144" t="s">
        <v>253</v>
      </c>
      <c r="C52" s="145" t="s">
        <v>1396</v>
      </c>
      <c r="D52" s="146" t="s">
        <v>1393</v>
      </c>
      <c r="E52" s="146" t="s">
        <v>673</v>
      </c>
      <c r="F52" s="146" t="s">
        <v>1400</v>
      </c>
      <c r="G52" s="146" t="s">
        <v>253</v>
      </c>
      <c r="H52" s="146" t="s">
        <v>1400</v>
      </c>
      <c r="I52" s="146" t="s">
        <v>1395</v>
      </c>
      <c r="J52" s="147" t="s">
        <v>1398</v>
      </c>
      <c r="K52" s="299">
        <f>26081057-2610970.1</f>
        <v>23470086.9</v>
      </c>
      <c r="L52" s="276">
        <f>L53+L54+L55</f>
        <v>23329316.89</v>
      </c>
      <c r="M52" s="276">
        <f t="shared" si="1"/>
        <v>140770.0099999979</v>
      </c>
      <c r="N52" s="91"/>
      <c r="O52" s="91"/>
      <c r="P52" s="91"/>
      <c r="Q52" s="91"/>
      <c r="R52" s="91"/>
      <c r="S52" s="91"/>
      <c r="T52" s="91"/>
      <c r="U52" s="91"/>
      <c r="V52" s="91"/>
    </row>
    <row r="53" spans="1:22" s="10" customFormat="1" ht="33.75">
      <c r="A53" s="148" t="s">
        <v>840</v>
      </c>
      <c r="B53" s="144" t="s">
        <v>253</v>
      </c>
      <c r="C53" s="145" t="s">
        <v>1396</v>
      </c>
      <c r="D53" s="146" t="s">
        <v>1393</v>
      </c>
      <c r="E53" s="146" t="s">
        <v>673</v>
      </c>
      <c r="F53" s="146" t="s">
        <v>1400</v>
      </c>
      <c r="G53" s="146" t="s">
        <v>253</v>
      </c>
      <c r="H53" s="146" t="s">
        <v>1400</v>
      </c>
      <c r="I53" s="146" t="s">
        <v>1401</v>
      </c>
      <c r="J53" s="147" t="s">
        <v>1398</v>
      </c>
      <c r="K53" s="221">
        <v>0</v>
      </c>
      <c r="L53" s="221">
        <v>22966459.5</v>
      </c>
      <c r="M53" s="276" t="str">
        <f t="shared" si="1"/>
        <v>-</v>
      </c>
      <c r="N53" s="91"/>
      <c r="O53" s="91"/>
      <c r="P53" s="91"/>
      <c r="Q53" s="91"/>
      <c r="R53" s="91"/>
      <c r="S53" s="91"/>
      <c r="T53" s="91"/>
      <c r="U53" s="91"/>
      <c r="V53" s="91"/>
    </row>
    <row r="54" spans="1:22" s="10" customFormat="1" ht="22.5">
      <c r="A54" s="148" t="s">
        <v>821</v>
      </c>
      <c r="B54" s="144" t="s">
        <v>253</v>
      </c>
      <c r="C54" s="145" t="s">
        <v>1396</v>
      </c>
      <c r="D54" s="146" t="s">
        <v>1393</v>
      </c>
      <c r="E54" s="146" t="s">
        <v>673</v>
      </c>
      <c r="F54" s="146" t="s">
        <v>1400</v>
      </c>
      <c r="G54" s="146" t="s">
        <v>253</v>
      </c>
      <c r="H54" s="146" t="s">
        <v>1400</v>
      </c>
      <c r="I54" s="146" t="s">
        <v>315</v>
      </c>
      <c r="J54" s="147" t="s">
        <v>1398</v>
      </c>
      <c r="K54" s="221">
        <v>0</v>
      </c>
      <c r="L54" s="221">
        <v>121779.8</v>
      </c>
      <c r="M54" s="276" t="str">
        <f t="shared" si="1"/>
        <v>-</v>
      </c>
      <c r="N54" s="91"/>
      <c r="O54" s="91"/>
      <c r="P54" s="91"/>
      <c r="Q54" s="91"/>
      <c r="R54" s="91"/>
      <c r="S54" s="91"/>
      <c r="T54" s="91"/>
      <c r="U54" s="91"/>
      <c r="V54" s="91"/>
    </row>
    <row r="55" spans="1:22" s="10" customFormat="1" ht="33.75">
      <c r="A55" s="148" t="s">
        <v>822</v>
      </c>
      <c r="B55" s="144" t="s">
        <v>253</v>
      </c>
      <c r="C55" s="145" t="s">
        <v>1396</v>
      </c>
      <c r="D55" s="146" t="s">
        <v>1393</v>
      </c>
      <c r="E55" s="146" t="s">
        <v>673</v>
      </c>
      <c r="F55" s="146" t="s">
        <v>1400</v>
      </c>
      <c r="G55" s="146" t="s">
        <v>253</v>
      </c>
      <c r="H55" s="146" t="s">
        <v>1400</v>
      </c>
      <c r="I55" s="146" t="s">
        <v>1402</v>
      </c>
      <c r="J55" s="147" t="s">
        <v>1398</v>
      </c>
      <c r="K55" s="221">
        <v>0</v>
      </c>
      <c r="L55" s="221">
        <v>241077.59</v>
      </c>
      <c r="M55" s="276" t="str">
        <f t="shared" si="1"/>
        <v>-</v>
      </c>
      <c r="N55" s="91"/>
      <c r="O55" s="91"/>
      <c r="P55" s="91"/>
      <c r="Q55" s="91"/>
      <c r="R55" s="91"/>
      <c r="S55" s="91"/>
      <c r="T55" s="91"/>
      <c r="U55" s="91"/>
      <c r="V55" s="91"/>
    </row>
    <row r="56" spans="1:22" s="12" customFormat="1" ht="22.5">
      <c r="A56" s="149" t="s">
        <v>1592</v>
      </c>
      <c r="B56" s="197" t="s">
        <v>253</v>
      </c>
      <c r="C56" s="150" t="s">
        <v>1396</v>
      </c>
      <c r="D56" s="151" t="s">
        <v>1393</v>
      </c>
      <c r="E56" s="151" t="s">
        <v>673</v>
      </c>
      <c r="F56" s="151" t="s">
        <v>1400</v>
      </c>
      <c r="G56" s="151" t="s">
        <v>494</v>
      </c>
      <c r="H56" s="151" t="s">
        <v>1400</v>
      </c>
      <c r="I56" s="151" t="s">
        <v>1395</v>
      </c>
      <c r="J56" s="152" t="s">
        <v>1398</v>
      </c>
      <c r="K56" s="299">
        <v>100621.86</v>
      </c>
      <c r="L56" s="276">
        <f>SUM(L57:L59)</f>
        <v>113803.79999999999</v>
      </c>
      <c r="M56" s="276" t="str">
        <f t="shared" si="1"/>
        <v>-</v>
      </c>
      <c r="N56" s="282"/>
      <c r="O56" s="282"/>
      <c r="P56" s="282"/>
      <c r="Q56" s="282"/>
      <c r="R56" s="282"/>
      <c r="S56" s="282"/>
      <c r="T56" s="282"/>
      <c r="U56" s="282"/>
      <c r="V56" s="282"/>
    </row>
    <row r="57" spans="1:22" s="12" customFormat="1" ht="33.75">
      <c r="A57" s="148" t="s">
        <v>1021</v>
      </c>
      <c r="B57" s="144" t="s">
        <v>253</v>
      </c>
      <c r="C57" s="145" t="s">
        <v>1396</v>
      </c>
      <c r="D57" s="146" t="s">
        <v>1393</v>
      </c>
      <c r="E57" s="146" t="s">
        <v>673</v>
      </c>
      <c r="F57" s="146" t="s">
        <v>1400</v>
      </c>
      <c r="G57" s="146" t="s">
        <v>494</v>
      </c>
      <c r="H57" s="146" t="s">
        <v>1400</v>
      </c>
      <c r="I57" s="146" t="s">
        <v>1401</v>
      </c>
      <c r="J57" s="147" t="s">
        <v>1398</v>
      </c>
      <c r="K57" s="221">
        <v>0</v>
      </c>
      <c r="L57" s="221">
        <v>34016.51</v>
      </c>
      <c r="M57" s="276" t="str">
        <f t="shared" si="1"/>
        <v>-</v>
      </c>
      <c r="N57" s="282"/>
      <c r="O57" s="282"/>
      <c r="P57" s="282"/>
      <c r="Q57" s="282"/>
      <c r="R57" s="282"/>
      <c r="S57" s="282"/>
      <c r="T57" s="282"/>
      <c r="U57" s="282"/>
      <c r="V57" s="282"/>
    </row>
    <row r="58" spans="1:22" s="12" customFormat="1" ht="22.5">
      <c r="A58" s="148" t="s">
        <v>821</v>
      </c>
      <c r="B58" s="144" t="s">
        <v>253</v>
      </c>
      <c r="C58" s="145" t="s">
        <v>1396</v>
      </c>
      <c r="D58" s="146" t="s">
        <v>1393</v>
      </c>
      <c r="E58" s="146" t="s">
        <v>673</v>
      </c>
      <c r="F58" s="146" t="s">
        <v>1400</v>
      </c>
      <c r="G58" s="146" t="s">
        <v>494</v>
      </c>
      <c r="H58" s="146" t="s">
        <v>1400</v>
      </c>
      <c r="I58" s="146" t="s">
        <v>315</v>
      </c>
      <c r="J58" s="147" t="s">
        <v>1398</v>
      </c>
      <c r="K58" s="221">
        <v>0</v>
      </c>
      <c r="L58" s="221">
        <v>78887.29</v>
      </c>
      <c r="M58" s="276" t="str">
        <f>IF(K58-L58&gt;0,K58-L58,"-")</f>
        <v>-</v>
      </c>
      <c r="N58" s="282"/>
      <c r="O58" s="282"/>
      <c r="P58" s="282"/>
      <c r="Q58" s="282"/>
      <c r="R58" s="282"/>
      <c r="S58" s="282"/>
      <c r="T58" s="282"/>
      <c r="U58" s="282"/>
      <c r="V58" s="282"/>
    </row>
    <row r="59" spans="1:22" s="12" customFormat="1" ht="33.75">
      <c r="A59" s="148" t="s">
        <v>1021</v>
      </c>
      <c r="B59" s="144" t="s">
        <v>253</v>
      </c>
      <c r="C59" s="145" t="s">
        <v>1396</v>
      </c>
      <c r="D59" s="146" t="s">
        <v>1393</v>
      </c>
      <c r="E59" s="146" t="s">
        <v>673</v>
      </c>
      <c r="F59" s="146" t="s">
        <v>1400</v>
      </c>
      <c r="G59" s="146" t="s">
        <v>494</v>
      </c>
      <c r="H59" s="146" t="s">
        <v>1400</v>
      </c>
      <c r="I59" s="146" t="s">
        <v>1402</v>
      </c>
      <c r="J59" s="147" t="s">
        <v>1398</v>
      </c>
      <c r="K59" s="221">
        <v>0</v>
      </c>
      <c r="L59" s="221">
        <v>900</v>
      </c>
      <c r="M59" s="276" t="str">
        <f>IF(K59-L59&gt;0,K59-L59,"-")</f>
        <v>-</v>
      </c>
      <c r="N59" s="282"/>
      <c r="O59" s="282"/>
      <c r="P59" s="282"/>
      <c r="Q59" s="282"/>
      <c r="R59" s="282"/>
      <c r="S59" s="282"/>
      <c r="T59" s="282"/>
      <c r="U59" s="282"/>
      <c r="V59" s="282"/>
    </row>
    <row r="60" spans="1:22" s="12" customFormat="1" ht="15.75">
      <c r="A60" s="139" t="s">
        <v>70</v>
      </c>
      <c r="B60" s="135" t="s">
        <v>253</v>
      </c>
      <c r="C60" s="140" t="s">
        <v>1396</v>
      </c>
      <c r="D60" s="141" t="s">
        <v>1393</v>
      </c>
      <c r="E60" s="141" t="s">
        <v>673</v>
      </c>
      <c r="F60" s="141" t="s">
        <v>609</v>
      </c>
      <c r="G60" s="141" t="s">
        <v>1392</v>
      </c>
      <c r="H60" s="141" t="s">
        <v>1397</v>
      </c>
      <c r="I60" s="141" t="s">
        <v>1395</v>
      </c>
      <c r="J60" s="142" t="s">
        <v>1398</v>
      </c>
      <c r="K60" s="275">
        <f>K61</f>
        <v>1620388.05</v>
      </c>
      <c r="L60" s="275">
        <f>L61</f>
        <v>1326601.06</v>
      </c>
      <c r="M60" s="275">
        <f t="shared" si="1"/>
        <v>293786.99</v>
      </c>
      <c r="N60" s="282"/>
      <c r="O60" s="282"/>
      <c r="P60" s="282"/>
      <c r="Q60" s="282"/>
      <c r="R60" s="282"/>
      <c r="S60" s="282"/>
      <c r="T60" s="282"/>
      <c r="U60" s="282"/>
      <c r="V60" s="282"/>
    </row>
    <row r="61" spans="1:22" s="12" customFormat="1" ht="15.75">
      <c r="A61" s="143" t="s">
        <v>70</v>
      </c>
      <c r="B61" s="144" t="s">
        <v>253</v>
      </c>
      <c r="C61" s="145" t="s">
        <v>1396</v>
      </c>
      <c r="D61" s="146" t="s">
        <v>1393</v>
      </c>
      <c r="E61" s="146" t="s">
        <v>673</v>
      </c>
      <c r="F61" s="146" t="s">
        <v>609</v>
      </c>
      <c r="G61" s="146" t="s">
        <v>253</v>
      </c>
      <c r="H61" s="146" t="s">
        <v>1397</v>
      </c>
      <c r="I61" s="146" t="s">
        <v>1395</v>
      </c>
      <c r="J61" s="147" t="s">
        <v>1398</v>
      </c>
      <c r="K61" s="299">
        <f>948582+671806.05</f>
        <v>1620388.05</v>
      </c>
      <c r="L61" s="276">
        <f>L62+L63</f>
        <v>1326601.06</v>
      </c>
      <c r="M61" s="276">
        <f>IF(K61-L61&gt;0,K61-L61,"-")</f>
        <v>293786.99</v>
      </c>
      <c r="N61" s="282"/>
      <c r="O61" s="282"/>
      <c r="P61" s="282"/>
      <c r="Q61" s="282"/>
      <c r="R61" s="282"/>
      <c r="S61" s="282"/>
      <c r="T61" s="282"/>
      <c r="U61" s="282"/>
      <c r="V61" s="282"/>
    </row>
    <row r="62" spans="1:22" s="12" customFormat="1" ht="22.5">
      <c r="A62" s="148" t="s">
        <v>841</v>
      </c>
      <c r="B62" s="144" t="s">
        <v>253</v>
      </c>
      <c r="C62" s="145" t="s">
        <v>1396</v>
      </c>
      <c r="D62" s="146" t="s">
        <v>1393</v>
      </c>
      <c r="E62" s="146" t="s">
        <v>673</v>
      </c>
      <c r="F62" s="146" t="s">
        <v>609</v>
      </c>
      <c r="G62" s="146" t="s">
        <v>253</v>
      </c>
      <c r="H62" s="146" t="s">
        <v>1397</v>
      </c>
      <c r="I62" s="146" t="s">
        <v>1401</v>
      </c>
      <c r="J62" s="147" t="s">
        <v>1398</v>
      </c>
      <c r="K62" s="221">
        <v>0</v>
      </c>
      <c r="L62" s="221">
        <v>1318481</v>
      </c>
      <c r="M62" s="276" t="str">
        <f>IF(K62-L62&gt;0,K62-L62,"-")</f>
        <v>-</v>
      </c>
      <c r="N62" s="282"/>
      <c r="O62" s="282"/>
      <c r="P62" s="282"/>
      <c r="Q62" s="282"/>
      <c r="R62" s="282"/>
      <c r="S62" s="282"/>
      <c r="T62" s="282"/>
      <c r="U62" s="282"/>
      <c r="V62" s="282"/>
    </row>
    <row r="63" spans="1:22" s="12" customFormat="1" ht="15.75">
      <c r="A63" s="148" t="s">
        <v>1978</v>
      </c>
      <c r="B63" s="144" t="s">
        <v>253</v>
      </c>
      <c r="C63" s="145" t="s">
        <v>1396</v>
      </c>
      <c r="D63" s="146" t="s">
        <v>1393</v>
      </c>
      <c r="E63" s="146" t="s">
        <v>673</v>
      </c>
      <c r="F63" s="146" t="s">
        <v>609</v>
      </c>
      <c r="G63" s="146" t="s">
        <v>253</v>
      </c>
      <c r="H63" s="146" t="s">
        <v>1397</v>
      </c>
      <c r="I63" s="146" t="s">
        <v>315</v>
      </c>
      <c r="J63" s="147" t="s">
        <v>1398</v>
      </c>
      <c r="K63" s="221">
        <v>0</v>
      </c>
      <c r="L63" s="221">
        <v>8120.06</v>
      </c>
      <c r="M63" s="276" t="str">
        <f t="shared" si="1"/>
        <v>-</v>
      </c>
      <c r="N63" s="282"/>
      <c r="O63" s="282"/>
      <c r="P63" s="282"/>
      <c r="Q63" s="282"/>
      <c r="R63" s="282"/>
      <c r="S63" s="282"/>
      <c r="T63" s="282"/>
      <c r="U63" s="282"/>
      <c r="V63" s="282"/>
    </row>
    <row r="64" spans="1:22" s="10" customFormat="1" ht="22.5">
      <c r="A64" s="139" t="s">
        <v>594</v>
      </c>
      <c r="B64" s="135" t="s">
        <v>253</v>
      </c>
      <c r="C64" s="140" t="s">
        <v>1396</v>
      </c>
      <c r="D64" s="141" t="s">
        <v>1393</v>
      </c>
      <c r="E64" s="141" t="s">
        <v>673</v>
      </c>
      <c r="F64" s="141" t="s">
        <v>1027</v>
      </c>
      <c r="G64" s="141" t="s">
        <v>1392</v>
      </c>
      <c r="H64" s="141" t="s">
        <v>1400</v>
      </c>
      <c r="I64" s="141" t="s">
        <v>1395</v>
      </c>
      <c r="J64" s="142" t="s">
        <v>1398</v>
      </c>
      <c r="K64" s="275">
        <f>K65</f>
        <v>722800</v>
      </c>
      <c r="L64" s="275">
        <f>L65</f>
        <v>797755.95</v>
      </c>
      <c r="M64" s="275" t="str">
        <f t="shared" si="1"/>
        <v>-</v>
      </c>
      <c r="N64" s="91"/>
      <c r="O64" s="91"/>
      <c r="P64" s="91"/>
      <c r="Q64" s="91"/>
      <c r="R64" s="91"/>
      <c r="S64" s="91"/>
      <c r="T64" s="91"/>
      <c r="U64" s="91"/>
      <c r="V64" s="91"/>
    </row>
    <row r="65" spans="1:22" s="10" customFormat="1" ht="22.5">
      <c r="A65" s="143" t="s">
        <v>423</v>
      </c>
      <c r="B65" s="144" t="s">
        <v>253</v>
      </c>
      <c r="C65" s="145" t="s">
        <v>1396</v>
      </c>
      <c r="D65" s="146" t="s">
        <v>1393</v>
      </c>
      <c r="E65" s="146" t="s">
        <v>673</v>
      </c>
      <c r="F65" s="146" t="s">
        <v>1027</v>
      </c>
      <c r="G65" s="146" t="s">
        <v>494</v>
      </c>
      <c r="H65" s="146" t="s">
        <v>1400</v>
      </c>
      <c r="I65" s="146" t="s">
        <v>1395</v>
      </c>
      <c r="J65" s="147" t="s">
        <v>1398</v>
      </c>
      <c r="K65" s="299">
        <f>775500-52700</f>
        <v>722800</v>
      </c>
      <c r="L65" s="276">
        <f>L66+L67</f>
        <v>797755.95</v>
      </c>
      <c r="M65" s="276" t="str">
        <f t="shared" si="1"/>
        <v>-</v>
      </c>
      <c r="N65" s="91"/>
      <c r="O65" s="91"/>
      <c r="P65" s="91"/>
      <c r="Q65" s="91"/>
      <c r="R65" s="91"/>
      <c r="S65" s="91"/>
      <c r="T65" s="91"/>
      <c r="U65" s="91"/>
      <c r="V65" s="91"/>
    </row>
    <row r="66" spans="1:22" s="12" customFormat="1" ht="45">
      <c r="A66" s="148" t="s">
        <v>946</v>
      </c>
      <c r="B66" s="144" t="s">
        <v>253</v>
      </c>
      <c r="C66" s="145" t="s">
        <v>1396</v>
      </c>
      <c r="D66" s="146" t="s">
        <v>1393</v>
      </c>
      <c r="E66" s="146" t="s">
        <v>673</v>
      </c>
      <c r="F66" s="146" t="s">
        <v>1027</v>
      </c>
      <c r="G66" s="146" t="s">
        <v>494</v>
      </c>
      <c r="H66" s="146" t="s">
        <v>1400</v>
      </c>
      <c r="I66" s="146" t="s">
        <v>1401</v>
      </c>
      <c r="J66" s="147" t="s">
        <v>1398</v>
      </c>
      <c r="K66" s="221">
        <v>0</v>
      </c>
      <c r="L66" s="221">
        <v>796912</v>
      </c>
      <c r="M66" s="276" t="str">
        <f>IF(K66-L66&gt;0,K66-L66,"-")</f>
        <v>-</v>
      </c>
      <c r="N66" s="282"/>
      <c r="O66" s="282"/>
      <c r="P66" s="282"/>
      <c r="Q66" s="282"/>
      <c r="R66" s="282"/>
      <c r="S66" s="282"/>
      <c r="T66" s="282"/>
      <c r="U66" s="282"/>
      <c r="V66" s="282"/>
    </row>
    <row r="67" spans="1:22" s="12" customFormat="1" ht="33.75">
      <c r="A67" s="148" t="s">
        <v>1979</v>
      </c>
      <c r="B67" s="144" t="s">
        <v>253</v>
      </c>
      <c r="C67" s="145" t="s">
        <v>1396</v>
      </c>
      <c r="D67" s="146" t="s">
        <v>1393</v>
      </c>
      <c r="E67" s="146" t="s">
        <v>673</v>
      </c>
      <c r="F67" s="146" t="s">
        <v>1027</v>
      </c>
      <c r="G67" s="146" t="s">
        <v>494</v>
      </c>
      <c r="H67" s="146" t="s">
        <v>1400</v>
      </c>
      <c r="I67" s="146" t="s">
        <v>315</v>
      </c>
      <c r="J67" s="147" t="s">
        <v>1398</v>
      </c>
      <c r="K67" s="221">
        <v>0</v>
      </c>
      <c r="L67" s="221">
        <v>843.95</v>
      </c>
      <c r="M67" s="276" t="str">
        <f t="shared" si="1"/>
        <v>-</v>
      </c>
      <c r="N67" s="282"/>
      <c r="O67" s="282"/>
      <c r="P67" s="282"/>
      <c r="Q67" s="282"/>
      <c r="R67" s="282"/>
      <c r="S67" s="282"/>
      <c r="T67" s="282"/>
      <c r="U67" s="282"/>
      <c r="V67" s="282"/>
    </row>
    <row r="68" spans="1:22" s="12" customFormat="1" ht="15.75">
      <c r="A68" s="139" t="s">
        <v>71</v>
      </c>
      <c r="B68" s="135" t="s">
        <v>253</v>
      </c>
      <c r="C68" s="140" t="s">
        <v>1392</v>
      </c>
      <c r="D68" s="141" t="s">
        <v>1393</v>
      </c>
      <c r="E68" s="141" t="s">
        <v>610</v>
      </c>
      <c r="F68" s="141" t="s">
        <v>1394</v>
      </c>
      <c r="G68" s="141" t="s">
        <v>1392</v>
      </c>
      <c r="H68" s="141" t="s">
        <v>1394</v>
      </c>
      <c r="I68" s="141" t="s">
        <v>1395</v>
      </c>
      <c r="J68" s="142" t="s">
        <v>1392</v>
      </c>
      <c r="K68" s="275">
        <f>K69+K72</f>
        <v>6769548.51</v>
      </c>
      <c r="L68" s="275">
        <f>L69+L72</f>
        <v>6667678.7</v>
      </c>
      <c r="M68" s="275">
        <f t="shared" si="1"/>
        <v>101869.80999999959</v>
      </c>
      <c r="N68" s="282"/>
      <c r="O68" s="282"/>
      <c r="P68" s="282"/>
      <c r="Q68" s="282"/>
      <c r="R68" s="282"/>
      <c r="S68" s="282"/>
      <c r="T68" s="282"/>
      <c r="U68" s="282"/>
      <c r="V68" s="282"/>
    </row>
    <row r="69" spans="1:22" s="12" customFormat="1" ht="22.5">
      <c r="A69" s="139" t="s">
        <v>406</v>
      </c>
      <c r="B69" s="135" t="s">
        <v>253</v>
      </c>
      <c r="C69" s="140" t="s">
        <v>1396</v>
      </c>
      <c r="D69" s="141" t="s">
        <v>1393</v>
      </c>
      <c r="E69" s="141" t="s">
        <v>610</v>
      </c>
      <c r="F69" s="141" t="s">
        <v>609</v>
      </c>
      <c r="G69" s="141" t="s">
        <v>1392</v>
      </c>
      <c r="H69" s="141" t="s">
        <v>1397</v>
      </c>
      <c r="I69" s="141" t="s">
        <v>1395</v>
      </c>
      <c r="J69" s="142" t="s">
        <v>1398</v>
      </c>
      <c r="K69" s="275">
        <f>K70</f>
        <v>5733548.51</v>
      </c>
      <c r="L69" s="275">
        <f>L70</f>
        <v>5627878.7</v>
      </c>
      <c r="M69" s="275">
        <f t="shared" si="1"/>
        <v>105669.80999999959</v>
      </c>
      <c r="N69" s="282"/>
      <c r="O69" s="282"/>
      <c r="P69" s="282"/>
      <c r="Q69" s="282"/>
      <c r="R69" s="282"/>
      <c r="S69" s="282"/>
      <c r="T69" s="282"/>
      <c r="U69" s="282"/>
      <c r="V69" s="282"/>
    </row>
    <row r="70" spans="1:22" s="10" customFormat="1" ht="22.5">
      <c r="A70" s="143" t="s">
        <v>670</v>
      </c>
      <c r="B70" s="144" t="s">
        <v>253</v>
      </c>
      <c r="C70" s="145" t="s">
        <v>1396</v>
      </c>
      <c r="D70" s="146" t="s">
        <v>1393</v>
      </c>
      <c r="E70" s="146" t="s">
        <v>610</v>
      </c>
      <c r="F70" s="146" t="s">
        <v>609</v>
      </c>
      <c r="G70" s="146" t="s">
        <v>253</v>
      </c>
      <c r="H70" s="146" t="s">
        <v>1397</v>
      </c>
      <c r="I70" s="146" t="s">
        <v>1395</v>
      </c>
      <c r="J70" s="147" t="s">
        <v>1398</v>
      </c>
      <c r="K70" s="299">
        <f>4158300+1575248.51</f>
        <v>5733548.51</v>
      </c>
      <c r="L70" s="276">
        <f>L71</f>
        <v>5627878.7</v>
      </c>
      <c r="M70" s="275">
        <f t="shared" si="1"/>
        <v>105669.80999999959</v>
      </c>
      <c r="N70" s="91"/>
      <c r="O70" s="91"/>
      <c r="P70" s="91"/>
      <c r="Q70" s="91"/>
      <c r="R70" s="91"/>
      <c r="S70" s="91"/>
      <c r="T70" s="91"/>
      <c r="U70" s="91"/>
      <c r="V70" s="91"/>
    </row>
    <row r="71" spans="1:22" s="10" customFormat="1" ht="45">
      <c r="A71" s="148" t="s">
        <v>842</v>
      </c>
      <c r="B71" s="144" t="s">
        <v>253</v>
      </c>
      <c r="C71" s="145" t="s">
        <v>1396</v>
      </c>
      <c r="D71" s="146" t="s">
        <v>1393</v>
      </c>
      <c r="E71" s="146" t="s">
        <v>610</v>
      </c>
      <c r="F71" s="146" t="s">
        <v>609</v>
      </c>
      <c r="G71" s="146" t="s">
        <v>253</v>
      </c>
      <c r="H71" s="146" t="s">
        <v>1397</v>
      </c>
      <c r="I71" s="146" t="s">
        <v>1401</v>
      </c>
      <c r="J71" s="147" t="s">
        <v>1398</v>
      </c>
      <c r="K71" s="221">
        <v>0</v>
      </c>
      <c r="L71" s="221">
        <v>5627878.7</v>
      </c>
      <c r="M71" s="276" t="str">
        <f t="shared" si="1"/>
        <v>-</v>
      </c>
      <c r="N71" s="91"/>
      <c r="O71" s="91"/>
      <c r="P71" s="91"/>
      <c r="Q71" s="91"/>
      <c r="R71" s="91"/>
      <c r="S71" s="91"/>
      <c r="T71" s="91"/>
      <c r="U71" s="91"/>
      <c r="V71" s="91"/>
    </row>
    <row r="72" spans="1:22" s="10" customFormat="1" ht="22.5">
      <c r="A72" s="139" t="s">
        <v>1077</v>
      </c>
      <c r="B72" s="135" t="s">
        <v>253</v>
      </c>
      <c r="C72" s="140" t="s">
        <v>1392</v>
      </c>
      <c r="D72" s="141" t="s">
        <v>1393</v>
      </c>
      <c r="E72" s="141" t="s">
        <v>610</v>
      </c>
      <c r="F72" s="141" t="s">
        <v>1031</v>
      </c>
      <c r="G72" s="141" t="s">
        <v>1392</v>
      </c>
      <c r="H72" s="141" t="s">
        <v>1397</v>
      </c>
      <c r="I72" s="141" t="s">
        <v>1395</v>
      </c>
      <c r="J72" s="142" t="s">
        <v>1398</v>
      </c>
      <c r="K72" s="275">
        <f>K73+K75</f>
        <v>1036000</v>
      </c>
      <c r="L72" s="275">
        <f>L73+L75</f>
        <v>1039800</v>
      </c>
      <c r="M72" s="275" t="str">
        <f>IF(K72-L72&gt;0,K72-L72,"-")</f>
        <v>-</v>
      </c>
      <c r="N72" s="91"/>
      <c r="O72" s="91"/>
      <c r="P72" s="91"/>
      <c r="Q72" s="91"/>
      <c r="R72" s="91"/>
      <c r="S72" s="91"/>
      <c r="T72" s="91"/>
      <c r="U72" s="91"/>
      <c r="V72" s="91"/>
    </row>
    <row r="73" spans="1:22" s="10" customFormat="1" ht="22.5">
      <c r="A73" s="143" t="s">
        <v>671</v>
      </c>
      <c r="B73" s="144" t="s">
        <v>253</v>
      </c>
      <c r="C73" s="145" t="s">
        <v>65</v>
      </c>
      <c r="D73" s="146" t="s">
        <v>1393</v>
      </c>
      <c r="E73" s="146" t="s">
        <v>610</v>
      </c>
      <c r="F73" s="146" t="s">
        <v>1031</v>
      </c>
      <c r="G73" s="146" t="s">
        <v>1032</v>
      </c>
      <c r="H73" s="146" t="s">
        <v>1397</v>
      </c>
      <c r="I73" s="146" t="s">
        <v>1395</v>
      </c>
      <c r="J73" s="147" t="s">
        <v>1398</v>
      </c>
      <c r="K73" s="221">
        <v>60000</v>
      </c>
      <c r="L73" s="276">
        <f>L74</f>
        <v>25000</v>
      </c>
      <c r="M73" s="275">
        <f t="shared" si="1"/>
        <v>35000</v>
      </c>
      <c r="N73" s="91"/>
      <c r="O73" s="91"/>
      <c r="P73" s="91"/>
      <c r="Q73" s="91"/>
      <c r="R73" s="91"/>
      <c r="S73" s="91"/>
      <c r="T73" s="91"/>
      <c r="U73" s="91"/>
      <c r="V73" s="91"/>
    </row>
    <row r="74" spans="1:22" s="10" customFormat="1" ht="22.5">
      <c r="A74" s="143" t="s">
        <v>671</v>
      </c>
      <c r="B74" s="144" t="s">
        <v>253</v>
      </c>
      <c r="C74" s="145" t="s">
        <v>65</v>
      </c>
      <c r="D74" s="146" t="s">
        <v>1393</v>
      </c>
      <c r="E74" s="146" t="s">
        <v>610</v>
      </c>
      <c r="F74" s="146" t="s">
        <v>1031</v>
      </c>
      <c r="G74" s="146" t="s">
        <v>1032</v>
      </c>
      <c r="H74" s="146" t="s">
        <v>1397</v>
      </c>
      <c r="I74" s="146" t="s">
        <v>1401</v>
      </c>
      <c r="J74" s="147" t="s">
        <v>1398</v>
      </c>
      <c r="K74" s="221">
        <v>0</v>
      </c>
      <c r="L74" s="221">
        <v>25000</v>
      </c>
      <c r="M74" s="276" t="str">
        <f>IF(K74-L74&gt;0,K74-L74,"-")</f>
        <v>-</v>
      </c>
      <c r="N74" s="91"/>
      <c r="O74" s="91"/>
      <c r="P74" s="91"/>
      <c r="Q74" s="91"/>
      <c r="R74" s="91"/>
      <c r="S74" s="91"/>
      <c r="T74" s="91"/>
      <c r="U74" s="91"/>
      <c r="V74" s="91"/>
    </row>
    <row r="75" spans="1:22" s="10" customFormat="1" ht="33.75">
      <c r="A75" s="143" t="s">
        <v>1078</v>
      </c>
      <c r="B75" s="144" t="s">
        <v>253</v>
      </c>
      <c r="C75" s="145" t="s">
        <v>1392</v>
      </c>
      <c r="D75" s="146" t="s">
        <v>1393</v>
      </c>
      <c r="E75" s="146" t="s">
        <v>610</v>
      </c>
      <c r="F75" s="146" t="s">
        <v>1031</v>
      </c>
      <c r="G75" s="146" t="s">
        <v>1033</v>
      </c>
      <c r="H75" s="146" t="s">
        <v>1397</v>
      </c>
      <c r="I75" s="146" t="s">
        <v>1395</v>
      </c>
      <c r="J75" s="147" t="s">
        <v>1398</v>
      </c>
      <c r="K75" s="276">
        <f>K76</f>
        <v>976000</v>
      </c>
      <c r="L75" s="276">
        <f>L76</f>
        <v>1014800</v>
      </c>
      <c r="M75" s="276" t="str">
        <f t="shared" si="1"/>
        <v>-</v>
      </c>
      <c r="N75" s="91"/>
      <c r="O75" s="91"/>
      <c r="P75" s="91"/>
      <c r="Q75" s="91"/>
      <c r="R75" s="91"/>
      <c r="S75" s="91"/>
      <c r="T75" s="91"/>
      <c r="U75" s="91"/>
      <c r="V75" s="91"/>
    </row>
    <row r="76" spans="1:22" s="12" customFormat="1" ht="45">
      <c r="A76" s="143" t="s">
        <v>15</v>
      </c>
      <c r="B76" s="144" t="s">
        <v>253</v>
      </c>
      <c r="C76" s="145" t="s">
        <v>1034</v>
      </c>
      <c r="D76" s="146" t="s">
        <v>1393</v>
      </c>
      <c r="E76" s="146" t="s">
        <v>610</v>
      </c>
      <c r="F76" s="146" t="s">
        <v>1031</v>
      </c>
      <c r="G76" s="146" t="s">
        <v>1035</v>
      </c>
      <c r="H76" s="146" t="s">
        <v>1397</v>
      </c>
      <c r="I76" s="146" t="s">
        <v>1395</v>
      </c>
      <c r="J76" s="147" t="s">
        <v>1398</v>
      </c>
      <c r="K76" s="299">
        <f>722200+253800</f>
        <v>976000</v>
      </c>
      <c r="L76" s="276">
        <f>L77</f>
        <v>1014800</v>
      </c>
      <c r="M76" s="276" t="str">
        <f t="shared" si="1"/>
        <v>-</v>
      </c>
      <c r="N76" s="282"/>
      <c r="O76" s="282"/>
      <c r="P76" s="282"/>
      <c r="Q76" s="282"/>
      <c r="R76" s="282"/>
      <c r="S76" s="282"/>
      <c r="T76" s="282"/>
      <c r="U76" s="282"/>
      <c r="V76" s="282"/>
    </row>
    <row r="77" spans="1:22" s="12" customFormat="1" ht="45">
      <c r="A77" s="149" t="s">
        <v>15</v>
      </c>
      <c r="B77" s="197" t="s">
        <v>253</v>
      </c>
      <c r="C77" s="145" t="s">
        <v>1034</v>
      </c>
      <c r="D77" s="146" t="s">
        <v>1393</v>
      </c>
      <c r="E77" s="146" t="s">
        <v>610</v>
      </c>
      <c r="F77" s="146" t="s">
        <v>1031</v>
      </c>
      <c r="G77" s="146" t="s">
        <v>1035</v>
      </c>
      <c r="H77" s="146" t="s">
        <v>1397</v>
      </c>
      <c r="I77" s="146" t="s">
        <v>1401</v>
      </c>
      <c r="J77" s="147" t="s">
        <v>1398</v>
      </c>
      <c r="K77" s="221">
        <v>0</v>
      </c>
      <c r="L77" s="221">
        <v>1014800</v>
      </c>
      <c r="M77" s="276" t="str">
        <f t="shared" si="1"/>
        <v>-</v>
      </c>
      <c r="N77" s="282"/>
      <c r="O77" s="282"/>
      <c r="P77" s="282"/>
      <c r="Q77" s="282"/>
      <c r="R77" s="282"/>
      <c r="S77" s="282"/>
      <c r="T77" s="282"/>
      <c r="U77" s="282"/>
      <c r="V77" s="282"/>
    </row>
    <row r="78" spans="1:22" s="12" customFormat="1" ht="22.5">
      <c r="A78" s="298" t="s">
        <v>2151</v>
      </c>
      <c r="B78" s="154" t="s">
        <v>253</v>
      </c>
      <c r="C78" s="155" t="s">
        <v>1392</v>
      </c>
      <c r="D78" s="156" t="s">
        <v>1393</v>
      </c>
      <c r="E78" s="156" t="s">
        <v>1036</v>
      </c>
      <c r="F78" s="156" t="s">
        <v>1394</v>
      </c>
      <c r="G78" s="156" t="s">
        <v>1392</v>
      </c>
      <c r="H78" s="156" t="s">
        <v>1394</v>
      </c>
      <c r="I78" s="156" t="s">
        <v>1395</v>
      </c>
      <c r="J78" s="157" t="s">
        <v>1392</v>
      </c>
      <c r="K78" s="275">
        <f aca="true" t="shared" si="2" ref="K78:L80">K79</f>
        <v>110.56</v>
      </c>
      <c r="L78" s="275">
        <f t="shared" si="2"/>
        <v>110.56</v>
      </c>
      <c r="M78" s="276" t="str">
        <f t="shared" si="1"/>
        <v>-</v>
      </c>
      <c r="N78" s="282"/>
      <c r="O78" s="282"/>
      <c r="P78" s="282"/>
      <c r="Q78" s="282"/>
      <c r="R78" s="282"/>
      <c r="S78" s="282"/>
      <c r="T78" s="282"/>
      <c r="U78" s="282"/>
      <c r="V78" s="282"/>
    </row>
    <row r="79" spans="1:22" s="12" customFormat="1" ht="15.75">
      <c r="A79" s="149" t="s">
        <v>2152</v>
      </c>
      <c r="B79" s="197" t="s">
        <v>253</v>
      </c>
      <c r="C79" s="150" t="s">
        <v>1392</v>
      </c>
      <c r="D79" s="151" t="s">
        <v>1393</v>
      </c>
      <c r="E79" s="151" t="s">
        <v>1036</v>
      </c>
      <c r="F79" s="151" t="s">
        <v>1031</v>
      </c>
      <c r="G79" s="151" t="s">
        <v>1392</v>
      </c>
      <c r="H79" s="151" t="s">
        <v>1394</v>
      </c>
      <c r="I79" s="151" t="s">
        <v>1395</v>
      </c>
      <c r="J79" s="152" t="s">
        <v>1398</v>
      </c>
      <c r="K79" s="276">
        <f t="shared" si="2"/>
        <v>110.56</v>
      </c>
      <c r="L79" s="276">
        <f t="shared" si="2"/>
        <v>110.56</v>
      </c>
      <c r="M79" s="276" t="str">
        <f t="shared" si="1"/>
        <v>-</v>
      </c>
      <c r="N79" s="282"/>
      <c r="O79" s="282"/>
      <c r="P79" s="282"/>
      <c r="Q79" s="282"/>
      <c r="R79" s="282"/>
      <c r="S79" s="282"/>
      <c r="T79" s="282"/>
      <c r="U79" s="282"/>
      <c r="V79" s="282"/>
    </row>
    <row r="80" spans="1:22" s="12" customFormat="1" ht="15.75">
      <c r="A80" s="149" t="s">
        <v>2153</v>
      </c>
      <c r="B80" s="197" t="s">
        <v>253</v>
      </c>
      <c r="C80" s="150" t="s">
        <v>1392</v>
      </c>
      <c r="D80" s="151" t="s">
        <v>1393</v>
      </c>
      <c r="E80" s="151" t="s">
        <v>1036</v>
      </c>
      <c r="F80" s="151" t="s">
        <v>1031</v>
      </c>
      <c r="G80" s="151" t="s">
        <v>1037</v>
      </c>
      <c r="H80" s="151" t="s">
        <v>1394</v>
      </c>
      <c r="I80" s="151" t="s">
        <v>1395</v>
      </c>
      <c r="J80" s="152" t="s">
        <v>1398</v>
      </c>
      <c r="K80" s="276">
        <f t="shared" si="2"/>
        <v>110.56</v>
      </c>
      <c r="L80" s="276">
        <f t="shared" si="2"/>
        <v>110.56</v>
      </c>
      <c r="M80" s="276" t="str">
        <f t="shared" si="1"/>
        <v>-</v>
      </c>
      <c r="N80" s="282"/>
      <c r="O80" s="282"/>
      <c r="P80" s="282"/>
      <c r="Q80" s="282"/>
      <c r="R80" s="282"/>
      <c r="S80" s="282"/>
      <c r="T80" s="282"/>
      <c r="U80" s="282"/>
      <c r="V80" s="282"/>
    </row>
    <row r="81" spans="1:22" s="249" customFormat="1" ht="22.5">
      <c r="A81" s="248" t="s">
        <v>2354</v>
      </c>
      <c r="B81" s="217" t="s">
        <v>253</v>
      </c>
      <c r="C81" s="218" t="s">
        <v>1396</v>
      </c>
      <c r="D81" s="219" t="s">
        <v>1393</v>
      </c>
      <c r="E81" s="219" t="s">
        <v>1036</v>
      </c>
      <c r="F81" s="219" t="s">
        <v>1031</v>
      </c>
      <c r="G81" s="219" t="s">
        <v>1363</v>
      </c>
      <c r="H81" s="219" t="s">
        <v>673</v>
      </c>
      <c r="I81" s="219" t="s">
        <v>1395</v>
      </c>
      <c r="J81" s="220" t="s">
        <v>1398</v>
      </c>
      <c r="K81" s="299">
        <v>110.56</v>
      </c>
      <c r="L81" s="276">
        <f>L82</f>
        <v>110.56</v>
      </c>
      <c r="M81" s="276" t="str">
        <f t="shared" si="1"/>
        <v>-</v>
      </c>
      <c r="N81" s="284"/>
      <c r="O81" s="284"/>
      <c r="P81" s="284"/>
      <c r="Q81" s="284"/>
      <c r="R81" s="284"/>
      <c r="S81" s="284"/>
      <c r="T81" s="284"/>
      <c r="U81" s="284"/>
      <c r="V81" s="284"/>
    </row>
    <row r="82" spans="1:22" s="249" customFormat="1" ht="22.5">
      <c r="A82" s="248" t="s">
        <v>2003</v>
      </c>
      <c r="B82" s="217" t="s">
        <v>253</v>
      </c>
      <c r="C82" s="218" t="s">
        <v>1396</v>
      </c>
      <c r="D82" s="219" t="s">
        <v>1393</v>
      </c>
      <c r="E82" s="219" t="s">
        <v>1036</v>
      </c>
      <c r="F82" s="219" t="s">
        <v>1031</v>
      </c>
      <c r="G82" s="219" t="s">
        <v>1363</v>
      </c>
      <c r="H82" s="219" t="s">
        <v>673</v>
      </c>
      <c r="I82" s="219" t="s">
        <v>315</v>
      </c>
      <c r="J82" s="220" t="s">
        <v>1398</v>
      </c>
      <c r="K82" s="221">
        <v>0</v>
      </c>
      <c r="L82" s="221">
        <v>110.56</v>
      </c>
      <c r="M82" s="276" t="str">
        <f>IF(K82-L82&gt;0,K82-L82,"-")</f>
        <v>-</v>
      </c>
      <c r="N82" s="284"/>
      <c r="O82" s="284"/>
      <c r="P82" s="284"/>
      <c r="Q82" s="284"/>
      <c r="R82" s="284"/>
      <c r="S82" s="284"/>
      <c r="T82" s="284"/>
      <c r="U82" s="284"/>
      <c r="V82" s="284"/>
    </row>
    <row r="83" spans="1:22" s="249" customFormat="1" ht="22.5">
      <c r="A83" s="153" t="s">
        <v>16</v>
      </c>
      <c r="B83" s="154" t="s">
        <v>253</v>
      </c>
      <c r="C83" s="155" t="s">
        <v>1392</v>
      </c>
      <c r="D83" s="156" t="s">
        <v>1393</v>
      </c>
      <c r="E83" s="156" t="s">
        <v>1038</v>
      </c>
      <c r="F83" s="156" t="s">
        <v>1394</v>
      </c>
      <c r="G83" s="156" t="s">
        <v>1392</v>
      </c>
      <c r="H83" s="156" t="s">
        <v>1394</v>
      </c>
      <c r="I83" s="156" t="s">
        <v>1395</v>
      </c>
      <c r="J83" s="157" t="s">
        <v>1392</v>
      </c>
      <c r="K83" s="275">
        <f>K84+K86+K89+K108+K111+K104</f>
        <v>173079091.59</v>
      </c>
      <c r="L83" s="275">
        <f>L84+L86+L89+L108+L111+L104</f>
        <v>191067966.21000007</v>
      </c>
      <c r="M83" s="276" t="str">
        <f t="shared" si="1"/>
        <v>-</v>
      </c>
      <c r="N83" s="284"/>
      <c r="O83" s="284"/>
      <c r="P83" s="284"/>
      <c r="Q83" s="284"/>
      <c r="R83" s="284"/>
      <c r="S83" s="284"/>
      <c r="T83" s="284"/>
      <c r="U83" s="284"/>
      <c r="V83" s="284"/>
    </row>
    <row r="84" spans="1:22" s="10" customFormat="1" ht="45">
      <c r="A84" s="139" t="s">
        <v>17</v>
      </c>
      <c r="B84" s="135" t="s">
        <v>253</v>
      </c>
      <c r="C84" s="155" t="s">
        <v>1392</v>
      </c>
      <c r="D84" s="156" t="s">
        <v>1393</v>
      </c>
      <c r="E84" s="156" t="s">
        <v>1038</v>
      </c>
      <c r="F84" s="156" t="s">
        <v>1397</v>
      </c>
      <c r="G84" s="156" t="s">
        <v>1392</v>
      </c>
      <c r="H84" s="156" t="s">
        <v>1394</v>
      </c>
      <c r="I84" s="156" t="s">
        <v>1395</v>
      </c>
      <c r="J84" s="157" t="s">
        <v>1039</v>
      </c>
      <c r="K84" s="275">
        <f>K85</f>
        <v>1507200</v>
      </c>
      <c r="L84" s="275">
        <f>L85</f>
        <v>1507200</v>
      </c>
      <c r="M84" s="275" t="str">
        <f t="shared" si="1"/>
        <v>-</v>
      </c>
      <c r="N84" s="91"/>
      <c r="O84" s="91"/>
      <c r="P84" s="91"/>
      <c r="Q84" s="91"/>
      <c r="R84" s="91"/>
      <c r="S84" s="91"/>
      <c r="T84" s="91"/>
      <c r="U84" s="91"/>
      <c r="V84" s="91"/>
    </row>
    <row r="85" spans="1:22" s="10" customFormat="1" ht="33.75">
      <c r="A85" s="143" t="s">
        <v>316</v>
      </c>
      <c r="B85" s="144" t="s">
        <v>253</v>
      </c>
      <c r="C85" s="145" t="s">
        <v>1040</v>
      </c>
      <c r="D85" s="146" t="s">
        <v>1393</v>
      </c>
      <c r="E85" s="146" t="s">
        <v>1038</v>
      </c>
      <c r="F85" s="146" t="s">
        <v>1397</v>
      </c>
      <c r="G85" s="146" t="s">
        <v>1037</v>
      </c>
      <c r="H85" s="146" t="s">
        <v>673</v>
      </c>
      <c r="I85" s="146" t="s">
        <v>1395</v>
      </c>
      <c r="J85" s="147" t="s">
        <v>1039</v>
      </c>
      <c r="K85" s="299">
        <f>68574+1438626</f>
        <v>1507200</v>
      </c>
      <c r="L85" s="246">
        <v>1507200</v>
      </c>
      <c r="M85" s="275" t="str">
        <f>IF(K85-L85&gt;0,K85-L85,"-")</f>
        <v>-</v>
      </c>
      <c r="N85" s="91"/>
      <c r="O85" s="91"/>
      <c r="P85" s="91"/>
      <c r="Q85" s="91"/>
      <c r="R85" s="91"/>
      <c r="S85" s="91"/>
      <c r="T85" s="91"/>
      <c r="U85" s="91"/>
      <c r="V85" s="91"/>
    </row>
    <row r="86" spans="1:22" s="10" customFormat="1" ht="15">
      <c r="A86" s="139" t="s">
        <v>18</v>
      </c>
      <c r="B86" s="135" t="s">
        <v>253</v>
      </c>
      <c r="C86" s="140" t="s">
        <v>1392</v>
      </c>
      <c r="D86" s="141" t="s">
        <v>1393</v>
      </c>
      <c r="E86" s="141" t="s">
        <v>1038</v>
      </c>
      <c r="F86" s="141" t="s">
        <v>609</v>
      </c>
      <c r="G86" s="141" t="s">
        <v>1392</v>
      </c>
      <c r="H86" s="141" t="s">
        <v>1394</v>
      </c>
      <c r="I86" s="141" t="s">
        <v>1395</v>
      </c>
      <c r="J86" s="142" t="s">
        <v>1039</v>
      </c>
      <c r="K86" s="275">
        <f>K87</f>
        <v>1805851.69</v>
      </c>
      <c r="L86" s="275">
        <f>L87</f>
        <v>1792262.5</v>
      </c>
      <c r="M86" s="281">
        <f t="shared" si="1"/>
        <v>13589.189999999944</v>
      </c>
      <c r="N86" s="91"/>
      <c r="O86" s="91"/>
      <c r="P86" s="91"/>
      <c r="Q86" s="91"/>
      <c r="R86" s="91"/>
      <c r="S86" s="91"/>
      <c r="T86" s="91"/>
      <c r="U86" s="91"/>
      <c r="V86" s="91"/>
    </row>
    <row r="87" spans="1:22" s="12" customFormat="1" ht="22.5">
      <c r="A87" s="143" t="s">
        <v>607</v>
      </c>
      <c r="B87" s="144" t="s">
        <v>253</v>
      </c>
      <c r="C87" s="140" t="s">
        <v>328</v>
      </c>
      <c r="D87" s="141" t="s">
        <v>1393</v>
      </c>
      <c r="E87" s="141" t="s">
        <v>1038</v>
      </c>
      <c r="F87" s="141" t="s">
        <v>609</v>
      </c>
      <c r="G87" s="141" t="s">
        <v>1037</v>
      </c>
      <c r="H87" s="141" t="s">
        <v>673</v>
      </c>
      <c r="I87" s="141" t="s">
        <v>1395</v>
      </c>
      <c r="J87" s="142" t="s">
        <v>1039</v>
      </c>
      <c r="K87" s="276">
        <f>K88</f>
        <v>1805851.69</v>
      </c>
      <c r="L87" s="276">
        <f>L88</f>
        <v>1792262.5</v>
      </c>
      <c r="M87" s="275">
        <f t="shared" si="1"/>
        <v>13589.189999999944</v>
      </c>
      <c r="N87" s="282"/>
      <c r="O87" s="282"/>
      <c r="P87" s="282"/>
      <c r="Q87" s="282"/>
      <c r="R87" s="282"/>
      <c r="S87" s="282"/>
      <c r="T87" s="282"/>
      <c r="U87" s="282"/>
      <c r="V87" s="282"/>
    </row>
    <row r="88" spans="1:22" s="12" customFormat="1" ht="22.5">
      <c r="A88" s="196" t="s">
        <v>1041</v>
      </c>
      <c r="B88" s="197" t="s">
        <v>253</v>
      </c>
      <c r="C88" s="145" t="s">
        <v>328</v>
      </c>
      <c r="D88" s="146" t="s">
        <v>1393</v>
      </c>
      <c r="E88" s="146" t="s">
        <v>1038</v>
      </c>
      <c r="F88" s="146" t="s">
        <v>609</v>
      </c>
      <c r="G88" s="146" t="s">
        <v>1037</v>
      </c>
      <c r="H88" s="146" t="s">
        <v>673</v>
      </c>
      <c r="I88" s="146" t="s">
        <v>1042</v>
      </c>
      <c r="J88" s="147" t="s">
        <v>1039</v>
      </c>
      <c r="K88" s="299">
        <f>1338282.93+467568.76</f>
        <v>1805851.69</v>
      </c>
      <c r="L88" s="221">
        <v>1792262.5</v>
      </c>
      <c r="M88" s="276">
        <f t="shared" si="1"/>
        <v>13589.189999999944</v>
      </c>
      <c r="N88" s="282"/>
      <c r="O88" s="282"/>
      <c r="P88" s="282"/>
      <c r="Q88" s="282"/>
      <c r="R88" s="282"/>
      <c r="S88" s="282"/>
      <c r="T88" s="282"/>
      <c r="U88" s="282"/>
      <c r="V88" s="282"/>
    </row>
    <row r="89" spans="1:22" s="12" customFormat="1" ht="56.25">
      <c r="A89" s="153" t="s">
        <v>608</v>
      </c>
      <c r="B89" s="154" t="s">
        <v>253</v>
      </c>
      <c r="C89" s="155" t="s">
        <v>1392</v>
      </c>
      <c r="D89" s="156" t="s">
        <v>1393</v>
      </c>
      <c r="E89" s="156" t="s">
        <v>1038</v>
      </c>
      <c r="F89" s="156" t="s">
        <v>673</v>
      </c>
      <c r="G89" s="156" t="s">
        <v>1392</v>
      </c>
      <c r="H89" s="156" t="s">
        <v>1394</v>
      </c>
      <c r="I89" s="156" t="s">
        <v>1395</v>
      </c>
      <c r="J89" s="157" t="s">
        <v>1039</v>
      </c>
      <c r="K89" s="275">
        <f>K90+K96+K98+K102</f>
        <v>161057646.55999997</v>
      </c>
      <c r="L89" s="275">
        <f>L90+L96+L98+L102</f>
        <v>178721622.51000005</v>
      </c>
      <c r="M89" s="276" t="str">
        <f t="shared" si="1"/>
        <v>-</v>
      </c>
      <c r="N89" s="282"/>
      <c r="O89" s="282"/>
      <c r="P89" s="282"/>
      <c r="Q89" s="282"/>
      <c r="R89" s="282"/>
      <c r="S89" s="282"/>
      <c r="T89" s="282"/>
      <c r="U89" s="282"/>
      <c r="V89" s="282"/>
    </row>
    <row r="90" spans="1:22" s="12" customFormat="1" ht="33.75">
      <c r="A90" s="143" t="s">
        <v>1286</v>
      </c>
      <c r="B90" s="144" t="s">
        <v>253</v>
      </c>
      <c r="C90" s="150" t="s">
        <v>1392</v>
      </c>
      <c r="D90" s="151" t="s">
        <v>1393</v>
      </c>
      <c r="E90" s="151" t="s">
        <v>1038</v>
      </c>
      <c r="F90" s="151" t="s">
        <v>673</v>
      </c>
      <c r="G90" s="151" t="s">
        <v>253</v>
      </c>
      <c r="H90" s="151" t="s">
        <v>1394</v>
      </c>
      <c r="I90" s="151" t="s">
        <v>1395</v>
      </c>
      <c r="J90" s="152" t="s">
        <v>1039</v>
      </c>
      <c r="K90" s="276">
        <f>K93+K91</f>
        <v>138556494.45999998</v>
      </c>
      <c r="L90" s="276">
        <f>L93+L91</f>
        <v>153113148.35000002</v>
      </c>
      <c r="M90" s="275" t="str">
        <f t="shared" si="1"/>
        <v>-</v>
      </c>
      <c r="N90" s="282"/>
      <c r="O90" s="282"/>
      <c r="P90" s="282"/>
      <c r="Q90" s="282"/>
      <c r="R90" s="282"/>
      <c r="S90" s="282"/>
      <c r="T90" s="282"/>
      <c r="U90" s="282"/>
      <c r="V90" s="282"/>
    </row>
    <row r="91" spans="1:22" s="12" customFormat="1" ht="56.25">
      <c r="A91" s="143" t="s">
        <v>676</v>
      </c>
      <c r="B91" s="144" t="s">
        <v>253</v>
      </c>
      <c r="C91" s="150" t="s">
        <v>1392</v>
      </c>
      <c r="D91" s="151" t="s">
        <v>1393</v>
      </c>
      <c r="E91" s="151" t="s">
        <v>1038</v>
      </c>
      <c r="F91" s="151" t="s">
        <v>673</v>
      </c>
      <c r="G91" s="151" t="s">
        <v>719</v>
      </c>
      <c r="H91" s="151" t="s">
        <v>673</v>
      </c>
      <c r="I91" s="151" t="s">
        <v>1395</v>
      </c>
      <c r="J91" s="152" t="s">
        <v>1039</v>
      </c>
      <c r="K91" s="276">
        <f>K92</f>
        <v>57061388.66</v>
      </c>
      <c r="L91" s="276">
        <f>L92</f>
        <v>69521410.48</v>
      </c>
      <c r="M91" s="276" t="str">
        <f t="shared" si="1"/>
        <v>-</v>
      </c>
      <c r="N91" s="282"/>
      <c r="O91" s="282"/>
      <c r="P91" s="282"/>
      <c r="Q91" s="282"/>
      <c r="R91" s="282"/>
      <c r="S91" s="282"/>
      <c r="T91" s="282"/>
      <c r="U91" s="282"/>
      <c r="V91" s="282"/>
    </row>
    <row r="92" spans="1:22" s="12" customFormat="1" ht="56.25">
      <c r="A92" s="143" t="s">
        <v>676</v>
      </c>
      <c r="B92" s="144" t="s">
        <v>253</v>
      </c>
      <c r="C92" s="145" t="s">
        <v>1040</v>
      </c>
      <c r="D92" s="146" t="s">
        <v>1393</v>
      </c>
      <c r="E92" s="146" t="s">
        <v>1038</v>
      </c>
      <c r="F92" s="146" t="s">
        <v>673</v>
      </c>
      <c r="G92" s="146" t="s">
        <v>719</v>
      </c>
      <c r="H92" s="146" t="s">
        <v>673</v>
      </c>
      <c r="I92" s="146" t="s">
        <v>1395</v>
      </c>
      <c r="J92" s="147" t="s">
        <v>1039</v>
      </c>
      <c r="K92" s="299">
        <f>46679148.66+10382240</f>
        <v>57061388.66</v>
      </c>
      <c r="L92" s="221">
        <v>69521410.48</v>
      </c>
      <c r="M92" s="276" t="str">
        <f t="shared" si="1"/>
        <v>-</v>
      </c>
      <c r="N92" s="282"/>
      <c r="O92" s="282"/>
      <c r="P92" s="282"/>
      <c r="Q92" s="282"/>
      <c r="R92" s="282"/>
      <c r="S92" s="282"/>
      <c r="T92" s="282"/>
      <c r="U92" s="282"/>
      <c r="V92" s="282"/>
    </row>
    <row r="93" spans="1:22" s="10" customFormat="1" ht="45">
      <c r="A93" s="143" t="s">
        <v>317</v>
      </c>
      <c r="B93" s="144" t="s">
        <v>253</v>
      </c>
      <c r="C93" s="145" t="s">
        <v>1392</v>
      </c>
      <c r="D93" s="146" t="s">
        <v>1393</v>
      </c>
      <c r="E93" s="146" t="s">
        <v>1038</v>
      </c>
      <c r="F93" s="146" t="s">
        <v>673</v>
      </c>
      <c r="G93" s="146" t="s">
        <v>719</v>
      </c>
      <c r="H93" s="146" t="s">
        <v>708</v>
      </c>
      <c r="I93" s="146" t="s">
        <v>1395</v>
      </c>
      <c r="J93" s="147" t="s">
        <v>1039</v>
      </c>
      <c r="K93" s="276">
        <f>SUM(K94:K95)</f>
        <v>81495105.8</v>
      </c>
      <c r="L93" s="276">
        <f>SUM(L94:L95)</f>
        <v>83591737.87</v>
      </c>
      <c r="M93" s="276" t="str">
        <f t="shared" si="1"/>
        <v>-</v>
      </c>
      <c r="N93" s="91"/>
      <c r="O93" s="91"/>
      <c r="P93" s="91"/>
      <c r="Q93" s="91"/>
      <c r="R93" s="91"/>
      <c r="S93" s="91"/>
      <c r="T93" s="91"/>
      <c r="U93" s="91"/>
      <c r="V93" s="91"/>
    </row>
    <row r="94" spans="1:22" s="10" customFormat="1" ht="45">
      <c r="A94" s="143" t="s">
        <v>317</v>
      </c>
      <c r="B94" s="144" t="s">
        <v>253</v>
      </c>
      <c r="C94" s="145" t="s">
        <v>823</v>
      </c>
      <c r="D94" s="146" t="s">
        <v>1393</v>
      </c>
      <c r="E94" s="146" t="s">
        <v>1038</v>
      </c>
      <c r="F94" s="146" t="s">
        <v>673</v>
      </c>
      <c r="G94" s="146" t="s">
        <v>719</v>
      </c>
      <c r="H94" s="146" t="s">
        <v>708</v>
      </c>
      <c r="I94" s="146" t="s">
        <v>1395</v>
      </c>
      <c r="J94" s="147" t="s">
        <v>1039</v>
      </c>
      <c r="K94" s="299">
        <f>68601542.25+4406487.75</f>
        <v>73008030</v>
      </c>
      <c r="L94" s="246">
        <v>74894932.76</v>
      </c>
      <c r="M94" s="276" t="str">
        <f t="shared" si="1"/>
        <v>-</v>
      </c>
      <c r="N94" s="91"/>
      <c r="O94" s="91"/>
      <c r="P94" s="91"/>
      <c r="Q94" s="91"/>
      <c r="R94" s="91"/>
      <c r="S94" s="91"/>
      <c r="T94" s="91"/>
      <c r="U94" s="91"/>
      <c r="V94" s="91"/>
    </row>
    <row r="95" spans="1:22" s="10" customFormat="1" ht="45">
      <c r="A95" s="143" t="s">
        <v>317</v>
      </c>
      <c r="B95" s="144" t="s">
        <v>253</v>
      </c>
      <c r="C95" s="145" t="s">
        <v>743</v>
      </c>
      <c r="D95" s="146" t="s">
        <v>1393</v>
      </c>
      <c r="E95" s="146" t="s">
        <v>1038</v>
      </c>
      <c r="F95" s="146" t="s">
        <v>673</v>
      </c>
      <c r="G95" s="146" t="s">
        <v>719</v>
      </c>
      <c r="H95" s="146" t="s">
        <v>708</v>
      </c>
      <c r="I95" s="146" t="s">
        <v>1395</v>
      </c>
      <c r="J95" s="147" t="s">
        <v>1039</v>
      </c>
      <c r="K95" s="299">
        <f>6107859.55+2379216.25</f>
        <v>8487075.8</v>
      </c>
      <c r="L95" s="246">
        <v>8696805.11</v>
      </c>
      <c r="M95" s="281" t="str">
        <f t="shared" si="1"/>
        <v>-</v>
      </c>
      <c r="N95" s="91"/>
      <c r="O95" s="91"/>
      <c r="P95" s="91"/>
      <c r="Q95" s="91"/>
      <c r="R95" s="91"/>
      <c r="S95" s="91"/>
      <c r="T95" s="91"/>
      <c r="U95" s="91"/>
      <c r="V95" s="91"/>
    </row>
    <row r="96" spans="1:22" s="10" customFormat="1" ht="45">
      <c r="A96" s="143" t="s">
        <v>481</v>
      </c>
      <c r="B96" s="144" t="s">
        <v>253</v>
      </c>
      <c r="C96" s="145" t="s">
        <v>1392</v>
      </c>
      <c r="D96" s="146" t="s">
        <v>1393</v>
      </c>
      <c r="E96" s="146" t="s">
        <v>1038</v>
      </c>
      <c r="F96" s="146" t="s">
        <v>673</v>
      </c>
      <c r="G96" s="146" t="s">
        <v>494</v>
      </c>
      <c r="H96" s="146" t="s">
        <v>1394</v>
      </c>
      <c r="I96" s="146" t="s">
        <v>1395</v>
      </c>
      <c r="J96" s="147" t="s">
        <v>1039</v>
      </c>
      <c r="K96" s="276">
        <f>K97</f>
        <v>300850.2</v>
      </c>
      <c r="L96" s="276">
        <f>L97</f>
        <v>292760.37</v>
      </c>
      <c r="M96" s="281">
        <f t="shared" si="1"/>
        <v>8089.830000000016</v>
      </c>
      <c r="N96" s="91"/>
      <c r="O96" s="91"/>
      <c r="P96" s="91"/>
      <c r="Q96" s="91"/>
      <c r="R96" s="91"/>
      <c r="S96" s="91"/>
      <c r="T96" s="91"/>
      <c r="U96" s="91"/>
      <c r="V96" s="91"/>
    </row>
    <row r="97" spans="1:22" s="10" customFormat="1" ht="45">
      <c r="A97" s="143" t="s">
        <v>482</v>
      </c>
      <c r="B97" s="144" t="s">
        <v>253</v>
      </c>
      <c r="C97" s="145" t="s">
        <v>1040</v>
      </c>
      <c r="D97" s="146" t="s">
        <v>1393</v>
      </c>
      <c r="E97" s="146" t="s">
        <v>1038</v>
      </c>
      <c r="F97" s="146" t="s">
        <v>673</v>
      </c>
      <c r="G97" s="146" t="s">
        <v>1029</v>
      </c>
      <c r="H97" s="146" t="s">
        <v>673</v>
      </c>
      <c r="I97" s="146" t="s">
        <v>1395</v>
      </c>
      <c r="J97" s="147" t="s">
        <v>1039</v>
      </c>
      <c r="K97" s="221">
        <v>300850.2</v>
      </c>
      <c r="L97" s="246">
        <v>292760.37</v>
      </c>
      <c r="M97" s="276">
        <f t="shared" si="1"/>
        <v>8089.830000000016</v>
      </c>
      <c r="N97" s="91"/>
      <c r="O97" s="91"/>
      <c r="P97" s="91"/>
      <c r="Q97" s="91"/>
      <c r="R97" s="91"/>
      <c r="S97" s="91"/>
      <c r="T97" s="91"/>
      <c r="U97" s="91"/>
      <c r="V97" s="91"/>
    </row>
    <row r="98" spans="1:22" s="10" customFormat="1" ht="45">
      <c r="A98" s="143" t="s">
        <v>443</v>
      </c>
      <c r="B98" s="144" t="s">
        <v>253</v>
      </c>
      <c r="C98" s="145" t="s">
        <v>1392</v>
      </c>
      <c r="D98" s="146" t="s">
        <v>1393</v>
      </c>
      <c r="E98" s="146" t="s">
        <v>1038</v>
      </c>
      <c r="F98" s="146" t="s">
        <v>673</v>
      </c>
      <c r="G98" s="146" t="s">
        <v>639</v>
      </c>
      <c r="H98" s="146" t="s">
        <v>1394</v>
      </c>
      <c r="I98" s="146" t="s">
        <v>1395</v>
      </c>
      <c r="J98" s="147" t="s">
        <v>1039</v>
      </c>
      <c r="K98" s="276">
        <f>K99</f>
        <v>401533.72000000003</v>
      </c>
      <c r="L98" s="276">
        <f>L99</f>
        <v>399666.15</v>
      </c>
      <c r="M98" s="281">
        <f t="shared" si="1"/>
        <v>1867.570000000007</v>
      </c>
      <c r="N98" s="91"/>
      <c r="O98" s="91"/>
      <c r="P98" s="91"/>
      <c r="Q98" s="91"/>
      <c r="R98" s="91"/>
      <c r="S98" s="91"/>
      <c r="T98" s="91"/>
      <c r="U98" s="91"/>
      <c r="V98" s="91"/>
    </row>
    <row r="99" spans="1:22" s="10" customFormat="1" ht="33.75">
      <c r="A99" s="143" t="s">
        <v>444</v>
      </c>
      <c r="B99" s="144" t="s">
        <v>253</v>
      </c>
      <c r="C99" s="145" t="s">
        <v>1040</v>
      </c>
      <c r="D99" s="146" t="s">
        <v>1393</v>
      </c>
      <c r="E99" s="146" t="s">
        <v>1038</v>
      </c>
      <c r="F99" s="146" t="s">
        <v>673</v>
      </c>
      <c r="G99" s="146" t="s">
        <v>723</v>
      </c>
      <c r="H99" s="146" t="s">
        <v>673</v>
      </c>
      <c r="I99" s="146" t="s">
        <v>1395</v>
      </c>
      <c r="J99" s="147" t="s">
        <v>1039</v>
      </c>
      <c r="K99" s="276">
        <f>K100+K101</f>
        <v>401533.72000000003</v>
      </c>
      <c r="L99" s="276">
        <f>L100+L101</f>
        <v>399666.15</v>
      </c>
      <c r="M99" s="276">
        <f t="shared" si="1"/>
        <v>1867.570000000007</v>
      </c>
      <c r="N99" s="91"/>
      <c r="O99" s="91"/>
      <c r="P99" s="91"/>
      <c r="Q99" s="91"/>
      <c r="R99" s="91"/>
      <c r="S99" s="91"/>
      <c r="T99" s="91"/>
      <c r="U99" s="91"/>
      <c r="V99" s="91"/>
    </row>
    <row r="100" spans="1:22" s="10" customFormat="1" ht="22.5">
      <c r="A100" s="143" t="s">
        <v>724</v>
      </c>
      <c r="B100" s="144" t="s">
        <v>253</v>
      </c>
      <c r="C100" s="145" t="s">
        <v>1040</v>
      </c>
      <c r="D100" s="146" t="s">
        <v>1393</v>
      </c>
      <c r="E100" s="146" t="s">
        <v>1038</v>
      </c>
      <c r="F100" s="146" t="s">
        <v>673</v>
      </c>
      <c r="G100" s="146" t="s">
        <v>723</v>
      </c>
      <c r="H100" s="146" t="s">
        <v>673</v>
      </c>
      <c r="I100" s="146" t="s">
        <v>722</v>
      </c>
      <c r="J100" s="147" t="s">
        <v>1039</v>
      </c>
      <c r="K100" s="221">
        <v>18583.88</v>
      </c>
      <c r="L100" s="221">
        <v>20832</v>
      </c>
      <c r="M100" s="276" t="str">
        <f t="shared" si="1"/>
        <v>-</v>
      </c>
      <c r="N100" s="91"/>
      <c r="O100" s="91"/>
      <c r="P100" s="91"/>
      <c r="Q100" s="91"/>
      <c r="R100" s="91"/>
      <c r="S100" s="91"/>
      <c r="T100" s="91"/>
      <c r="U100" s="91"/>
      <c r="V100" s="91"/>
    </row>
    <row r="101" spans="1:22" s="12" customFormat="1" ht="22.5">
      <c r="A101" s="143" t="s">
        <v>725</v>
      </c>
      <c r="B101" s="144" t="s">
        <v>253</v>
      </c>
      <c r="C101" s="145" t="s">
        <v>1040</v>
      </c>
      <c r="D101" s="146" t="s">
        <v>1393</v>
      </c>
      <c r="E101" s="146" t="s">
        <v>1038</v>
      </c>
      <c r="F101" s="146" t="s">
        <v>673</v>
      </c>
      <c r="G101" s="146" t="s">
        <v>723</v>
      </c>
      <c r="H101" s="146" t="s">
        <v>673</v>
      </c>
      <c r="I101" s="146" t="s">
        <v>1042</v>
      </c>
      <c r="J101" s="147" t="s">
        <v>1039</v>
      </c>
      <c r="K101" s="299">
        <f>308666.64+74283.2</f>
        <v>382949.84</v>
      </c>
      <c r="L101" s="221">
        <v>378834.15</v>
      </c>
      <c r="M101" s="276">
        <f>IF(K101-L101&gt;0,K101-L101,"-")</f>
        <v>4115.690000000002</v>
      </c>
      <c r="N101" s="282"/>
      <c r="O101" s="282"/>
      <c r="P101" s="282"/>
      <c r="Q101" s="282"/>
      <c r="R101" s="282"/>
      <c r="S101" s="282"/>
      <c r="T101" s="282"/>
      <c r="U101" s="282"/>
      <c r="V101" s="282"/>
    </row>
    <row r="102" spans="1:22" s="10" customFormat="1" ht="22.5">
      <c r="A102" s="143" t="s">
        <v>333</v>
      </c>
      <c r="B102" s="144" t="s">
        <v>253</v>
      </c>
      <c r="C102" s="145" t="s">
        <v>1392</v>
      </c>
      <c r="D102" s="146" t="s">
        <v>1393</v>
      </c>
      <c r="E102" s="146" t="s">
        <v>1038</v>
      </c>
      <c r="F102" s="146" t="s">
        <v>673</v>
      </c>
      <c r="G102" s="146" t="s">
        <v>334</v>
      </c>
      <c r="H102" s="146" t="s">
        <v>1394</v>
      </c>
      <c r="I102" s="146" t="s">
        <v>1395</v>
      </c>
      <c r="J102" s="147" t="s">
        <v>1039</v>
      </c>
      <c r="K102" s="276">
        <f>K103</f>
        <v>21798768.18</v>
      </c>
      <c r="L102" s="276">
        <f>L103</f>
        <v>24916047.64</v>
      </c>
      <c r="M102" s="276" t="str">
        <f t="shared" si="1"/>
        <v>-</v>
      </c>
      <c r="N102" s="91"/>
      <c r="O102" s="91"/>
      <c r="P102" s="91"/>
      <c r="Q102" s="91"/>
      <c r="R102" s="91"/>
      <c r="S102" s="91"/>
      <c r="T102" s="91"/>
      <c r="U102" s="91"/>
      <c r="V102" s="91"/>
    </row>
    <row r="103" spans="1:22" s="10" customFormat="1" ht="22.5">
      <c r="A103" s="196" t="s">
        <v>335</v>
      </c>
      <c r="B103" s="197" t="s">
        <v>253</v>
      </c>
      <c r="C103" s="150" t="s">
        <v>1040</v>
      </c>
      <c r="D103" s="151" t="s">
        <v>1393</v>
      </c>
      <c r="E103" s="151" t="s">
        <v>1038</v>
      </c>
      <c r="F103" s="151" t="s">
        <v>673</v>
      </c>
      <c r="G103" s="151" t="s">
        <v>336</v>
      </c>
      <c r="H103" s="151" t="s">
        <v>673</v>
      </c>
      <c r="I103" s="151" t="s">
        <v>1395</v>
      </c>
      <c r="J103" s="152" t="s">
        <v>1039</v>
      </c>
      <c r="K103" s="299">
        <f>20859920.04+938848.14</f>
        <v>21798768.18</v>
      </c>
      <c r="L103" s="221">
        <v>24916047.64</v>
      </c>
      <c r="M103" s="276" t="str">
        <f t="shared" si="1"/>
        <v>-</v>
      </c>
      <c r="N103" s="91"/>
      <c r="O103" s="91"/>
      <c r="P103" s="91"/>
      <c r="Q103" s="91"/>
      <c r="R103" s="91"/>
      <c r="S103" s="91"/>
      <c r="T103" s="91"/>
      <c r="U103" s="91"/>
      <c r="V103" s="91"/>
    </row>
    <row r="104" spans="1:22" s="12" customFormat="1" ht="22.5">
      <c r="A104" s="196" t="s">
        <v>2355</v>
      </c>
      <c r="B104" s="197" t="s">
        <v>253</v>
      </c>
      <c r="C104" s="150" t="s">
        <v>1392</v>
      </c>
      <c r="D104" s="151" t="s">
        <v>1393</v>
      </c>
      <c r="E104" s="151" t="s">
        <v>1038</v>
      </c>
      <c r="F104" s="151" t="s">
        <v>673</v>
      </c>
      <c r="G104" s="151" t="s">
        <v>2356</v>
      </c>
      <c r="H104" s="151" t="s">
        <v>1394</v>
      </c>
      <c r="I104" s="151" t="s">
        <v>1395</v>
      </c>
      <c r="J104" s="152" t="s">
        <v>1039</v>
      </c>
      <c r="K104" s="276">
        <f aca="true" t="shared" si="3" ref="K104:L106">K105</f>
        <v>161266.02</v>
      </c>
      <c r="L104" s="276">
        <f t="shared" si="3"/>
        <v>161266.02</v>
      </c>
      <c r="M104" s="276" t="str">
        <f t="shared" si="1"/>
        <v>-</v>
      </c>
      <c r="N104" s="282"/>
      <c r="O104" s="282"/>
      <c r="P104" s="282"/>
      <c r="Q104" s="282"/>
      <c r="R104" s="282"/>
      <c r="S104" s="282"/>
      <c r="T104" s="282"/>
      <c r="U104" s="282"/>
      <c r="V104" s="282"/>
    </row>
    <row r="105" spans="1:22" s="12" customFormat="1" ht="22.5">
      <c r="A105" s="196" t="s">
        <v>2357</v>
      </c>
      <c r="B105" s="197" t="s">
        <v>253</v>
      </c>
      <c r="C105" s="150" t="s">
        <v>1392</v>
      </c>
      <c r="D105" s="151" t="s">
        <v>1393</v>
      </c>
      <c r="E105" s="151" t="s">
        <v>1038</v>
      </c>
      <c r="F105" s="151" t="s">
        <v>673</v>
      </c>
      <c r="G105" s="151" t="s">
        <v>2358</v>
      </c>
      <c r="H105" s="151" t="s">
        <v>1394</v>
      </c>
      <c r="I105" s="151" t="s">
        <v>1395</v>
      </c>
      <c r="J105" s="152" t="s">
        <v>1039</v>
      </c>
      <c r="K105" s="276">
        <f t="shared" si="3"/>
        <v>161266.02</v>
      </c>
      <c r="L105" s="276">
        <f t="shared" si="3"/>
        <v>161266.02</v>
      </c>
      <c r="M105" s="276" t="str">
        <f aca="true" t="shared" si="4" ref="M105:M177">IF(K105-L105&gt;0,K105-L105,"-")</f>
        <v>-</v>
      </c>
      <c r="N105" s="282"/>
      <c r="O105" s="282"/>
      <c r="P105" s="282"/>
      <c r="Q105" s="282"/>
      <c r="R105" s="282"/>
      <c r="S105" s="282"/>
      <c r="T105" s="282"/>
      <c r="U105" s="282"/>
      <c r="V105" s="282"/>
    </row>
    <row r="106" spans="1:22" s="12" customFormat="1" ht="56.25">
      <c r="A106" s="196" t="s">
        <v>2088</v>
      </c>
      <c r="B106" s="197" t="s">
        <v>253</v>
      </c>
      <c r="C106" s="150" t="s">
        <v>1392</v>
      </c>
      <c r="D106" s="151" t="s">
        <v>1393</v>
      </c>
      <c r="E106" s="151" t="s">
        <v>1038</v>
      </c>
      <c r="F106" s="151" t="s">
        <v>673</v>
      </c>
      <c r="G106" s="151" t="s">
        <v>2087</v>
      </c>
      <c r="H106" s="151" t="s">
        <v>708</v>
      </c>
      <c r="I106" s="151" t="s">
        <v>1395</v>
      </c>
      <c r="J106" s="152" t="s">
        <v>1039</v>
      </c>
      <c r="K106" s="276">
        <f t="shared" si="3"/>
        <v>161266.02</v>
      </c>
      <c r="L106" s="276">
        <f t="shared" si="3"/>
        <v>161266.02</v>
      </c>
      <c r="M106" s="276" t="str">
        <f t="shared" si="4"/>
        <v>-</v>
      </c>
      <c r="N106" s="282"/>
      <c r="O106" s="282"/>
      <c r="P106" s="282"/>
      <c r="Q106" s="282"/>
      <c r="R106" s="282"/>
      <c r="S106" s="282"/>
      <c r="T106" s="282"/>
      <c r="U106" s="282"/>
      <c r="V106" s="282"/>
    </row>
    <row r="107" spans="1:22" s="12" customFormat="1" ht="56.25">
      <c r="A107" s="196" t="s">
        <v>2088</v>
      </c>
      <c r="B107" s="197" t="s">
        <v>253</v>
      </c>
      <c r="C107" s="150" t="s">
        <v>823</v>
      </c>
      <c r="D107" s="151" t="s">
        <v>1393</v>
      </c>
      <c r="E107" s="151" t="s">
        <v>1038</v>
      </c>
      <c r="F107" s="151" t="s">
        <v>673</v>
      </c>
      <c r="G107" s="151" t="s">
        <v>2087</v>
      </c>
      <c r="H107" s="151" t="s">
        <v>708</v>
      </c>
      <c r="I107" s="151" t="s">
        <v>1395</v>
      </c>
      <c r="J107" s="152" t="s">
        <v>1039</v>
      </c>
      <c r="K107" s="299">
        <v>161266.02</v>
      </c>
      <c r="L107" s="221">
        <v>161266.02</v>
      </c>
      <c r="M107" s="275" t="str">
        <f t="shared" si="4"/>
        <v>-</v>
      </c>
      <c r="N107" s="282"/>
      <c r="O107" s="282"/>
      <c r="P107" s="282"/>
      <c r="Q107" s="282"/>
      <c r="R107" s="282"/>
      <c r="S107" s="282"/>
      <c r="T107" s="282"/>
      <c r="U107" s="282"/>
      <c r="V107" s="282"/>
    </row>
    <row r="108" spans="1:22" s="12" customFormat="1" ht="15.75">
      <c r="A108" s="139" t="s">
        <v>727</v>
      </c>
      <c r="B108" s="135" t="s">
        <v>253</v>
      </c>
      <c r="C108" s="140" t="s">
        <v>1392</v>
      </c>
      <c r="D108" s="141" t="s">
        <v>1393</v>
      </c>
      <c r="E108" s="141" t="s">
        <v>1038</v>
      </c>
      <c r="F108" s="141" t="s">
        <v>1031</v>
      </c>
      <c r="G108" s="141" t="s">
        <v>1392</v>
      </c>
      <c r="H108" s="141" t="s">
        <v>1394</v>
      </c>
      <c r="I108" s="141" t="s">
        <v>1395</v>
      </c>
      <c r="J108" s="142" t="s">
        <v>1039</v>
      </c>
      <c r="K108" s="275">
        <f>K109</f>
        <v>939879.46</v>
      </c>
      <c r="L108" s="275">
        <f>L109</f>
        <v>939879.46</v>
      </c>
      <c r="M108" s="276" t="str">
        <f t="shared" si="4"/>
        <v>-</v>
      </c>
      <c r="N108" s="282"/>
      <c r="O108" s="282"/>
      <c r="P108" s="282"/>
      <c r="Q108" s="282"/>
      <c r="R108" s="282"/>
      <c r="S108" s="282"/>
      <c r="T108" s="282"/>
      <c r="U108" s="282"/>
      <c r="V108" s="282"/>
    </row>
    <row r="109" spans="1:22" s="10" customFormat="1" ht="22.5">
      <c r="A109" s="143" t="s">
        <v>728</v>
      </c>
      <c r="B109" s="144" t="s">
        <v>253</v>
      </c>
      <c r="C109" s="145" t="s">
        <v>1392</v>
      </c>
      <c r="D109" s="146" t="s">
        <v>1393</v>
      </c>
      <c r="E109" s="146" t="s">
        <v>1038</v>
      </c>
      <c r="F109" s="146" t="s">
        <v>1031</v>
      </c>
      <c r="G109" s="146" t="s">
        <v>253</v>
      </c>
      <c r="H109" s="146" t="s">
        <v>1394</v>
      </c>
      <c r="I109" s="146" t="s">
        <v>1395</v>
      </c>
      <c r="J109" s="147" t="s">
        <v>1039</v>
      </c>
      <c r="K109" s="276">
        <f>K110</f>
        <v>939879.46</v>
      </c>
      <c r="L109" s="276">
        <f>L110</f>
        <v>939879.46</v>
      </c>
      <c r="M109" s="275" t="str">
        <f t="shared" si="4"/>
        <v>-</v>
      </c>
      <c r="N109" s="91"/>
      <c r="O109" s="91"/>
      <c r="P109" s="91"/>
      <c r="Q109" s="91"/>
      <c r="R109" s="91"/>
      <c r="S109" s="91"/>
      <c r="T109" s="91"/>
      <c r="U109" s="91"/>
      <c r="V109" s="91"/>
    </row>
    <row r="110" spans="1:22" s="10" customFormat="1" ht="33.75">
      <c r="A110" s="158" t="s">
        <v>1406</v>
      </c>
      <c r="B110" s="144" t="s">
        <v>253</v>
      </c>
      <c r="C110" s="145" t="s">
        <v>1040</v>
      </c>
      <c r="D110" s="159" t="s">
        <v>1393</v>
      </c>
      <c r="E110" s="159" t="s">
        <v>1038</v>
      </c>
      <c r="F110" s="159" t="s">
        <v>1031</v>
      </c>
      <c r="G110" s="159" t="s">
        <v>726</v>
      </c>
      <c r="H110" s="159" t="s">
        <v>673</v>
      </c>
      <c r="I110" s="159" t="s">
        <v>1395</v>
      </c>
      <c r="J110" s="160" t="s">
        <v>1039</v>
      </c>
      <c r="K110" s="299">
        <f>633948.62+305930.84</f>
        <v>939879.46</v>
      </c>
      <c r="L110" s="221">
        <v>939879.46</v>
      </c>
      <c r="M110" s="276" t="str">
        <f t="shared" si="4"/>
        <v>-</v>
      </c>
      <c r="N110" s="91"/>
      <c r="O110" s="91"/>
      <c r="P110" s="91"/>
      <c r="Q110" s="91"/>
      <c r="R110" s="91"/>
      <c r="S110" s="91"/>
      <c r="T110" s="91"/>
      <c r="U110" s="91"/>
      <c r="V110" s="91"/>
    </row>
    <row r="111" spans="1:22" s="10" customFormat="1" ht="45">
      <c r="A111" s="158" t="s">
        <v>1079</v>
      </c>
      <c r="B111" s="144" t="s">
        <v>253</v>
      </c>
      <c r="C111" s="145" t="s">
        <v>1392</v>
      </c>
      <c r="D111" s="159" t="s">
        <v>1393</v>
      </c>
      <c r="E111" s="159" t="s">
        <v>1038</v>
      </c>
      <c r="F111" s="159" t="s">
        <v>1036</v>
      </c>
      <c r="G111" s="159" t="s">
        <v>1392</v>
      </c>
      <c r="H111" s="159" t="s">
        <v>1394</v>
      </c>
      <c r="I111" s="159" t="s">
        <v>1395</v>
      </c>
      <c r="J111" s="160" t="s">
        <v>1039</v>
      </c>
      <c r="K111" s="276">
        <f aca="true" t="shared" si="5" ref="K111:L113">K112</f>
        <v>7607247.86</v>
      </c>
      <c r="L111" s="276">
        <f t="shared" si="5"/>
        <v>7945735.72</v>
      </c>
      <c r="M111" s="276" t="str">
        <f t="shared" si="4"/>
        <v>-</v>
      </c>
      <c r="N111" s="91"/>
      <c r="O111" s="91"/>
      <c r="P111" s="91"/>
      <c r="Q111" s="91"/>
      <c r="R111" s="91"/>
      <c r="S111" s="91"/>
      <c r="T111" s="91"/>
      <c r="U111" s="91"/>
      <c r="V111" s="91"/>
    </row>
    <row r="112" spans="1:22" s="10" customFormat="1" ht="45">
      <c r="A112" s="158" t="s">
        <v>596</v>
      </c>
      <c r="B112" s="144" t="s">
        <v>253</v>
      </c>
      <c r="C112" s="145" t="s">
        <v>1392</v>
      </c>
      <c r="D112" s="159" t="s">
        <v>1393</v>
      </c>
      <c r="E112" s="159" t="s">
        <v>1038</v>
      </c>
      <c r="F112" s="159" t="s">
        <v>1036</v>
      </c>
      <c r="G112" s="159" t="s">
        <v>672</v>
      </c>
      <c r="H112" s="159" t="s">
        <v>1394</v>
      </c>
      <c r="I112" s="159" t="s">
        <v>1395</v>
      </c>
      <c r="J112" s="160" t="s">
        <v>1039</v>
      </c>
      <c r="K112" s="276">
        <f t="shared" si="5"/>
        <v>7607247.86</v>
      </c>
      <c r="L112" s="276">
        <f t="shared" si="5"/>
        <v>7945735.72</v>
      </c>
      <c r="M112" s="276" t="str">
        <f t="shared" si="4"/>
        <v>-</v>
      </c>
      <c r="N112" s="91"/>
      <c r="O112" s="91"/>
      <c r="P112" s="91"/>
      <c r="Q112" s="91"/>
      <c r="R112" s="91"/>
      <c r="S112" s="91"/>
      <c r="T112" s="91"/>
      <c r="U112" s="91"/>
      <c r="V112" s="91"/>
    </row>
    <row r="113" spans="1:22" s="10" customFormat="1" ht="45">
      <c r="A113" s="161" t="s">
        <v>597</v>
      </c>
      <c r="B113" s="144" t="s">
        <v>253</v>
      </c>
      <c r="C113" s="145" t="s">
        <v>1040</v>
      </c>
      <c r="D113" s="159" t="s">
        <v>1393</v>
      </c>
      <c r="E113" s="159" t="s">
        <v>1038</v>
      </c>
      <c r="F113" s="159" t="s">
        <v>1036</v>
      </c>
      <c r="G113" s="159" t="s">
        <v>703</v>
      </c>
      <c r="H113" s="159" t="s">
        <v>673</v>
      </c>
      <c r="I113" s="159" t="s">
        <v>1395</v>
      </c>
      <c r="J113" s="160" t="s">
        <v>1039</v>
      </c>
      <c r="K113" s="276">
        <f t="shared" si="5"/>
        <v>7607247.86</v>
      </c>
      <c r="L113" s="276">
        <f t="shared" si="5"/>
        <v>7945735.72</v>
      </c>
      <c r="M113" s="281" t="str">
        <f t="shared" si="4"/>
        <v>-</v>
      </c>
      <c r="N113" s="91"/>
      <c r="O113" s="91"/>
      <c r="P113" s="91"/>
      <c r="Q113" s="91"/>
      <c r="R113" s="91"/>
      <c r="S113" s="91"/>
      <c r="T113" s="91"/>
      <c r="U113" s="91"/>
      <c r="V113" s="91"/>
    </row>
    <row r="114" spans="1:22" s="10" customFormat="1" ht="15">
      <c r="A114" s="162" t="s">
        <v>704</v>
      </c>
      <c r="B114" s="144" t="s">
        <v>253</v>
      </c>
      <c r="C114" s="145" t="s">
        <v>1040</v>
      </c>
      <c r="D114" s="159" t="s">
        <v>1393</v>
      </c>
      <c r="E114" s="159" t="s">
        <v>1038</v>
      </c>
      <c r="F114" s="159" t="s">
        <v>1036</v>
      </c>
      <c r="G114" s="159" t="s">
        <v>703</v>
      </c>
      <c r="H114" s="159" t="s">
        <v>673</v>
      </c>
      <c r="I114" s="159" t="s">
        <v>722</v>
      </c>
      <c r="J114" s="160" t="s">
        <v>1039</v>
      </c>
      <c r="K114" s="299">
        <f>6158700.2+1448547.66</f>
        <v>7607247.86</v>
      </c>
      <c r="L114" s="246">
        <v>7945735.72</v>
      </c>
      <c r="M114" s="276" t="str">
        <f t="shared" si="4"/>
        <v>-</v>
      </c>
      <c r="N114" s="286"/>
      <c r="O114" s="91"/>
      <c r="P114" s="91"/>
      <c r="Q114" s="91"/>
      <c r="R114" s="91"/>
      <c r="S114" s="91"/>
      <c r="T114" s="91"/>
      <c r="U114" s="91"/>
      <c r="V114" s="91"/>
    </row>
    <row r="115" spans="1:22" s="10" customFormat="1" ht="15">
      <c r="A115" s="163" t="s">
        <v>598</v>
      </c>
      <c r="B115" s="135" t="s">
        <v>253</v>
      </c>
      <c r="C115" s="140" t="s">
        <v>1392</v>
      </c>
      <c r="D115" s="164" t="s">
        <v>1393</v>
      </c>
      <c r="E115" s="164" t="s">
        <v>705</v>
      </c>
      <c r="F115" s="164" t="s">
        <v>1394</v>
      </c>
      <c r="G115" s="164" t="s">
        <v>1392</v>
      </c>
      <c r="H115" s="164" t="s">
        <v>1394</v>
      </c>
      <c r="I115" s="164" t="s">
        <v>1395</v>
      </c>
      <c r="J115" s="165" t="s">
        <v>1392</v>
      </c>
      <c r="K115" s="275">
        <f>K116</f>
        <v>35554002.18</v>
      </c>
      <c r="L115" s="275">
        <f>L116</f>
        <v>34383575.24</v>
      </c>
      <c r="M115" s="275">
        <f t="shared" si="4"/>
        <v>1170426.9399999976</v>
      </c>
      <c r="N115" s="91"/>
      <c r="O115" s="91"/>
      <c r="P115" s="91"/>
      <c r="Q115" s="91"/>
      <c r="R115" s="91"/>
      <c r="S115" s="91"/>
      <c r="T115" s="91"/>
      <c r="U115" s="91"/>
      <c r="V115" s="91"/>
    </row>
    <row r="116" spans="1:22" s="10" customFormat="1" ht="15">
      <c r="A116" s="163" t="s">
        <v>599</v>
      </c>
      <c r="B116" s="135" t="s">
        <v>253</v>
      </c>
      <c r="C116" s="140" t="s">
        <v>706</v>
      </c>
      <c r="D116" s="164" t="s">
        <v>1393</v>
      </c>
      <c r="E116" s="164" t="s">
        <v>705</v>
      </c>
      <c r="F116" s="164" t="s">
        <v>1397</v>
      </c>
      <c r="G116" s="164" t="s">
        <v>1392</v>
      </c>
      <c r="H116" s="164" t="s">
        <v>1397</v>
      </c>
      <c r="I116" s="164" t="s">
        <v>1395</v>
      </c>
      <c r="J116" s="165" t="s">
        <v>1039</v>
      </c>
      <c r="K116" s="275">
        <f>K117+K119+K121+K126</f>
        <v>35554002.18</v>
      </c>
      <c r="L116" s="275">
        <f>L117+L121+L119+L126</f>
        <v>34383575.24</v>
      </c>
      <c r="M116" s="276">
        <f t="shared" si="4"/>
        <v>1170426.9399999976</v>
      </c>
      <c r="N116" s="91"/>
      <c r="O116" s="91"/>
      <c r="P116" s="91"/>
      <c r="Q116" s="91"/>
      <c r="R116" s="91"/>
      <c r="S116" s="91"/>
      <c r="T116" s="91"/>
      <c r="U116" s="91"/>
      <c r="V116" s="91"/>
    </row>
    <row r="117" spans="1:22" s="10" customFormat="1" ht="22.5">
      <c r="A117" s="162" t="s">
        <v>1047</v>
      </c>
      <c r="B117" s="144" t="s">
        <v>253</v>
      </c>
      <c r="C117" s="145" t="s">
        <v>706</v>
      </c>
      <c r="D117" s="159" t="s">
        <v>1393</v>
      </c>
      <c r="E117" s="159" t="s">
        <v>705</v>
      </c>
      <c r="F117" s="159" t="s">
        <v>1397</v>
      </c>
      <c r="G117" s="159" t="s">
        <v>253</v>
      </c>
      <c r="H117" s="159" t="s">
        <v>1397</v>
      </c>
      <c r="I117" s="159" t="s">
        <v>1395</v>
      </c>
      <c r="J117" s="160" t="s">
        <v>1039</v>
      </c>
      <c r="K117" s="299">
        <f>3861416.26-2334900.06</f>
        <v>1526516.1999999997</v>
      </c>
      <c r="L117" s="276">
        <f>L118</f>
        <v>1150855.82</v>
      </c>
      <c r="M117" s="276">
        <f t="shared" si="4"/>
        <v>375660.37999999966</v>
      </c>
      <c r="N117" s="91"/>
      <c r="O117" s="91"/>
      <c r="P117" s="91"/>
      <c r="Q117" s="91"/>
      <c r="R117" s="91"/>
      <c r="S117" s="91"/>
      <c r="T117" s="91"/>
      <c r="U117" s="91"/>
      <c r="V117" s="91"/>
    </row>
    <row r="118" spans="1:22" s="10" customFormat="1" ht="33.75">
      <c r="A118" s="148" t="s">
        <v>824</v>
      </c>
      <c r="B118" s="144" t="s">
        <v>253</v>
      </c>
      <c r="C118" s="145" t="s">
        <v>706</v>
      </c>
      <c r="D118" s="159" t="s">
        <v>1393</v>
      </c>
      <c r="E118" s="159" t="s">
        <v>705</v>
      </c>
      <c r="F118" s="159" t="s">
        <v>1397</v>
      </c>
      <c r="G118" s="159" t="s">
        <v>253</v>
      </c>
      <c r="H118" s="159" t="s">
        <v>1397</v>
      </c>
      <c r="I118" s="159" t="s">
        <v>707</v>
      </c>
      <c r="J118" s="160" t="s">
        <v>1039</v>
      </c>
      <c r="K118" s="221">
        <v>0</v>
      </c>
      <c r="L118" s="221">
        <v>1150855.82</v>
      </c>
      <c r="M118" s="276" t="str">
        <f t="shared" si="4"/>
        <v>-</v>
      </c>
      <c r="N118" s="91"/>
      <c r="O118" s="91"/>
      <c r="P118" s="91"/>
      <c r="Q118" s="91"/>
      <c r="R118" s="91"/>
      <c r="S118" s="91"/>
      <c r="T118" s="91"/>
      <c r="U118" s="91"/>
      <c r="V118" s="91"/>
    </row>
    <row r="119" spans="1:22" s="10" customFormat="1" ht="15">
      <c r="A119" s="143" t="s">
        <v>1025</v>
      </c>
      <c r="B119" s="144" t="s">
        <v>253</v>
      </c>
      <c r="C119" s="145" t="s">
        <v>706</v>
      </c>
      <c r="D119" s="146" t="s">
        <v>1393</v>
      </c>
      <c r="E119" s="146" t="s">
        <v>705</v>
      </c>
      <c r="F119" s="146" t="s">
        <v>1397</v>
      </c>
      <c r="G119" s="146" t="s">
        <v>639</v>
      </c>
      <c r="H119" s="146" t="s">
        <v>1397</v>
      </c>
      <c r="I119" s="146" t="s">
        <v>1395</v>
      </c>
      <c r="J119" s="147" t="s">
        <v>1039</v>
      </c>
      <c r="K119" s="299">
        <f>108758.8+273667.2</f>
        <v>382426</v>
      </c>
      <c r="L119" s="276">
        <f>L120</f>
        <v>300506.24</v>
      </c>
      <c r="M119" s="276">
        <f t="shared" si="4"/>
        <v>81919.76000000001</v>
      </c>
      <c r="N119" s="91"/>
      <c r="O119" s="91"/>
      <c r="P119" s="91"/>
      <c r="Q119" s="91"/>
      <c r="R119" s="91"/>
      <c r="S119" s="91"/>
      <c r="T119" s="91"/>
      <c r="U119" s="91"/>
      <c r="V119" s="91"/>
    </row>
    <row r="120" spans="1:22" s="12" customFormat="1" ht="33.75">
      <c r="A120" s="143" t="s">
        <v>1960</v>
      </c>
      <c r="B120" s="144" t="s">
        <v>253</v>
      </c>
      <c r="C120" s="145" t="s">
        <v>706</v>
      </c>
      <c r="D120" s="146" t="s">
        <v>1393</v>
      </c>
      <c r="E120" s="146" t="s">
        <v>705</v>
      </c>
      <c r="F120" s="146" t="s">
        <v>1397</v>
      </c>
      <c r="G120" s="146" t="s">
        <v>639</v>
      </c>
      <c r="H120" s="146" t="s">
        <v>1397</v>
      </c>
      <c r="I120" s="146" t="s">
        <v>707</v>
      </c>
      <c r="J120" s="147" t="s">
        <v>1039</v>
      </c>
      <c r="K120" s="221">
        <v>0</v>
      </c>
      <c r="L120" s="221">
        <v>300506.24</v>
      </c>
      <c r="M120" s="276" t="str">
        <f t="shared" si="4"/>
        <v>-</v>
      </c>
      <c r="N120" s="282"/>
      <c r="O120" s="282"/>
      <c r="P120" s="282"/>
      <c r="Q120" s="282"/>
      <c r="R120" s="282"/>
      <c r="S120" s="282"/>
      <c r="T120" s="282"/>
      <c r="U120" s="282"/>
      <c r="V120" s="282"/>
    </row>
    <row r="121" spans="1:22" s="12" customFormat="1" ht="15.75">
      <c r="A121" s="143" t="s">
        <v>611</v>
      </c>
      <c r="B121" s="144" t="s">
        <v>253</v>
      </c>
      <c r="C121" s="145" t="s">
        <v>706</v>
      </c>
      <c r="D121" s="159" t="s">
        <v>1393</v>
      </c>
      <c r="E121" s="159" t="s">
        <v>705</v>
      </c>
      <c r="F121" s="159" t="s">
        <v>1397</v>
      </c>
      <c r="G121" s="159" t="s">
        <v>672</v>
      </c>
      <c r="H121" s="159" t="s">
        <v>1397</v>
      </c>
      <c r="I121" s="159" t="s">
        <v>1395</v>
      </c>
      <c r="J121" s="160" t="s">
        <v>1039</v>
      </c>
      <c r="K121" s="299">
        <f>11129224.94-6315822.8</f>
        <v>4813402.14</v>
      </c>
      <c r="L121" s="276">
        <f>L122+L124</f>
        <v>4100555.3400000003</v>
      </c>
      <c r="M121" s="276">
        <f t="shared" si="4"/>
        <v>712846.7999999993</v>
      </c>
      <c r="N121" s="282"/>
      <c r="O121" s="282"/>
      <c r="P121" s="282"/>
      <c r="Q121" s="282"/>
      <c r="R121" s="282"/>
      <c r="S121" s="282"/>
      <c r="T121" s="282"/>
      <c r="U121" s="282"/>
      <c r="V121" s="282"/>
    </row>
    <row r="122" spans="1:22" s="12" customFormat="1" ht="15.75">
      <c r="A122" s="143" t="s">
        <v>1980</v>
      </c>
      <c r="B122" s="144" t="s">
        <v>253</v>
      </c>
      <c r="C122" s="145" t="s">
        <v>706</v>
      </c>
      <c r="D122" s="159" t="s">
        <v>1393</v>
      </c>
      <c r="E122" s="159" t="s">
        <v>705</v>
      </c>
      <c r="F122" s="159" t="s">
        <v>1397</v>
      </c>
      <c r="G122" s="159" t="s">
        <v>1981</v>
      </c>
      <c r="H122" s="159" t="s">
        <v>1397</v>
      </c>
      <c r="I122" s="159" t="s">
        <v>1395</v>
      </c>
      <c r="J122" s="160" t="s">
        <v>1039</v>
      </c>
      <c r="K122" s="221">
        <v>0</v>
      </c>
      <c r="L122" s="276">
        <f>L123</f>
        <v>4099690.99</v>
      </c>
      <c r="M122" s="276" t="str">
        <f t="shared" si="4"/>
        <v>-</v>
      </c>
      <c r="N122" s="282"/>
      <c r="O122" s="282"/>
      <c r="P122" s="282"/>
      <c r="Q122" s="282"/>
      <c r="R122" s="282"/>
      <c r="S122" s="282"/>
      <c r="T122" s="282"/>
      <c r="U122" s="282"/>
      <c r="V122" s="282"/>
    </row>
    <row r="123" spans="1:22" s="249" customFormat="1" ht="33.75">
      <c r="A123" s="148" t="s">
        <v>1982</v>
      </c>
      <c r="B123" s="144" t="s">
        <v>253</v>
      </c>
      <c r="C123" s="171" t="s">
        <v>706</v>
      </c>
      <c r="D123" s="172" t="s">
        <v>1393</v>
      </c>
      <c r="E123" s="172" t="s">
        <v>705</v>
      </c>
      <c r="F123" s="172" t="s">
        <v>1397</v>
      </c>
      <c r="G123" s="159" t="s">
        <v>1981</v>
      </c>
      <c r="H123" s="172" t="s">
        <v>1397</v>
      </c>
      <c r="I123" s="146" t="s">
        <v>707</v>
      </c>
      <c r="J123" s="173" t="s">
        <v>1039</v>
      </c>
      <c r="K123" s="221">
        <v>0</v>
      </c>
      <c r="L123" s="221">
        <v>4099690.99</v>
      </c>
      <c r="M123" s="276" t="str">
        <f t="shared" si="4"/>
        <v>-</v>
      </c>
      <c r="N123" s="284"/>
      <c r="O123" s="284"/>
      <c r="P123" s="284"/>
      <c r="Q123" s="284"/>
      <c r="R123" s="284"/>
      <c r="S123" s="284"/>
      <c r="T123" s="284"/>
      <c r="U123" s="284"/>
      <c r="V123" s="284"/>
    </row>
    <row r="124" spans="1:22" s="249" customFormat="1" ht="33.75">
      <c r="A124" s="248" t="s">
        <v>2004</v>
      </c>
      <c r="B124" s="217" t="s">
        <v>253</v>
      </c>
      <c r="C124" s="218" t="s">
        <v>706</v>
      </c>
      <c r="D124" s="250" t="s">
        <v>1393</v>
      </c>
      <c r="E124" s="250" t="s">
        <v>705</v>
      </c>
      <c r="F124" s="250" t="s">
        <v>1397</v>
      </c>
      <c r="G124" s="250" t="s">
        <v>2005</v>
      </c>
      <c r="H124" s="250" t="s">
        <v>1397</v>
      </c>
      <c r="I124" s="250" t="s">
        <v>1395</v>
      </c>
      <c r="J124" s="251" t="s">
        <v>1039</v>
      </c>
      <c r="K124" s="221">
        <v>0</v>
      </c>
      <c r="L124" s="276">
        <f>L125</f>
        <v>864.35</v>
      </c>
      <c r="M124" s="276" t="str">
        <f t="shared" si="4"/>
        <v>-</v>
      </c>
      <c r="N124" s="284"/>
      <c r="O124" s="284"/>
      <c r="P124" s="284"/>
      <c r="Q124" s="284"/>
      <c r="R124" s="284"/>
      <c r="S124" s="284"/>
      <c r="T124" s="284"/>
      <c r="U124" s="284"/>
      <c r="V124" s="284"/>
    </row>
    <row r="125" spans="1:22" s="12" customFormat="1" ht="33.75">
      <c r="A125" s="248" t="s">
        <v>2004</v>
      </c>
      <c r="B125" s="217" t="s">
        <v>253</v>
      </c>
      <c r="C125" s="252" t="s">
        <v>706</v>
      </c>
      <c r="D125" s="253" t="s">
        <v>1393</v>
      </c>
      <c r="E125" s="253" t="s">
        <v>705</v>
      </c>
      <c r="F125" s="253" t="s">
        <v>1397</v>
      </c>
      <c r="G125" s="250" t="s">
        <v>2005</v>
      </c>
      <c r="H125" s="253" t="s">
        <v>1397</v>
      </c>
      <c r="I125" s="219" t="s">
        <v>707</v>
      </c>
      <c r="J125" s="254" t="s">
        <v>1039</v>
      </c>
      <c r="K125" s="221">
        <v>0</v>
      </c>
      <c r="L125" s="221">
        <v>864.35</v>
      </c>
      <c r="M125" s="276" t="str">
        <f t="shared" si="4"/>
        <v>-</v>
      </c>
      <c r="N125" s="282"/>
      <c r="O125" s="282"/>
      <c r="P125" s="282"/>
      <c r="Q125" s="282"/>
      <c r="R125" s="282"/>
      <c r="S125" s="282"/>
      <c r="T125" s="282"/>
      <c r="U125" s="282"/>
      <c r="V125" s="282"/>
    </row>
    <row r="126" spans="1:22" s="12" customFormat="1" ht="22.5">
      <c r="A126" s="143" t="s">
        <v>1983</v>
      </c>
      <c r="B126" s="144" t="s">
        <v>253</v>
      </c>
      <c r="C126" s="145" t="s">
        <v>706</v>
      </c>
      <c r="D126" s="159" t="s">
        <v>1393</v>
      </c>
      <c r="E126" s="159" t="s">
        <v>705</v>
      </c>
      <c r="F126" s="159" t="s">
        <v>1397</v>
      </c>
      <c r="G126" s="159" t="s">
        <v>334</v>
      </c>
      <c r="H126" s="159" t="s">
        <v>1397</v>
      </c>
      <c r="I126" s="159" t="s">
        <v>1395</v>
      </c>
      <c r="J126" s="160" t="s">
        <v>1039</v>
      </c>
      <c r="K126" s="299">
        <v>28831657.84</v>
      </c>
      <c r="L126" s="276">
        <f>L127</f>
        <v>28831657.84</v>
      </c>
      <c r="M126" s="276" t="str">
        <f t="shared" si="4"/>
        <v>-</v>
      </c>
      <c r="N126" s="282"/>
      <c r="O126" s="282"/>
      <c r="P126" s="282"/>
      <c r="Q126" s="282"/>
      <c r="R126" s="282"/>
      <c r="S126" s="282"/>
      <c r="T126" s="282"/>
      <c r="U126" s="282"/>
      <c r="V126" s="282"/>
    </row>
    <row r="127" spans="1:22" s="12" customFormat="1" ht="45">
      <c r="A127" s="148" t="s">
        <v>1984</v>
      </c>
      <c r="B127" s="144" t="s">
        <v>253</v>
      </c>
      <c r="C127" s="171" t="s">
        <v>706</v>
      </c>
      <c r="D127" s="172" t="s">
        <v>1393</v>
      </c>
      <c r="E127" s="172" t="s">
        <v>705</v>
      </c>
      <c r="F127" s="172" t="s">
        <v>1397</v>
      </c>
      <c r="G127" s="159" t="s">
        <v>334</v>
      </c>
      <c r="H127" s="172" t="s">
        <v>1397</v>
      </c>
      <c r="I127" s="146" t="s">
        <v>707</v>
      </c>
      <c r="J127" s="173" t="s">
        <v>1039</v>
      </c>
      <c r="K127" s="221">
        <v>0</v>
      </c>
      <c r="L127" s="221">
        <v>28831657.84</v>
      </c>
      <c r="M127" s="275" t="str">
        <f t="shared" si="4"/>
        <v>-</v>
      </c>
      <c r="N127" s="282"/>
      <c r="O127" s="282"/>
      <c r="P127" s="282"/>
      <c r="Q127" s="282"/>
      <c r="R127" s="282"/>
      <c r="S127" s="282"/>
      <c r="T127" s="282"/>
      <c r="U127" s="282"/>
      <c r="V127" s="282"/>
    </row>
    <row r="128" spans="1:22" s="10" customFormat="1" ht="22.5">
      <c r="A128" s="166" t="s">
        <v>612</v>
      </c>
      <c r="B128" s="135" t="s">
        <v>253</v>
      </c>
      <c r="C128" s="167" t="s">
        <v>1392</v>
      </c>
      <c r="D128" s="168" t="s">
        <v>1393</v>
      </c>
      <c r="E128" s="168" t="s">
        <v>708</v>
      </c>
      <c r="F128" s="168" t="s">
        <v>1394</v>
      </c>
      <c r="G128" s="168" t="s">
        <v>1392</v>
      </c>
      <c r="H128" s="168" t="s">
        <v>1394</v>
      </c>
      <c r="I128" s="141" t="s">
        <v>1395</v>
      </c>
      <c r="J128" s="169" t="s">
        <v>1392</v>
      </c>
      <c r="K128" s="275">
        <f>K129+K134</f>
        <v>39721438.169999994</v>
      </c>
      <c r="L128" s="275">
        <f>L129+L134</f>
        <v>39105931.839999996</v>
      </c>
      <c r="M128" s="275">
        <f t="shared" si="4"/>
        <v>615506.3299999982</v>
      </c>
      <c r="N128" s="91"/>
      <c r="O128" s="91"/>
      <c r="P128" s="91"/>
      <c r="Q128" s="91"/>
      <c r="R128" s="91"/>
      <c r="S128" s="91"/>
      <c r="T128" s="91"/>
      <c r="U128" s="91"/>
      <c r="V128" s="91"/>
    </row>
    <row r="129" spans="1:22" s="10" customFormat="1" ht="15">
      <c r="A129" s="166" t="s">
        <v>318</v>
      </c>
      <c r="B129" s="135" t="s">
        <v>253</v>
      </c>
      <c r="C129" s="167" t="s">
        <v>1392</v>
      </c>
      <c r="D129" s="168" t="s">
        <v>1393</v>
      </c>
      <c r="E129" s="168" t="s">
        <v>708</v>
      </c>
      <c r="F129" s="168" t="s">
        <v>1397</v>
      </c>
      <c r="G129" s="168" t="s">
        <v>1392</v>
      </c>
      <c r="H129" s="168" t="s">
        <v>1394</v>
      </c>
      <c r="I129" s="141" t="s">
        <v>1395</v>
      </c>
      <c r="J129" s="169" t="s">
        <v>709</v>
      </c>
      <c r="K129" s="275">
        <f>K130</f>
        <v>33885138.37</v>
      </c>
      <c r="L129" s="275">
        <f>L130</f>
        <v>33236718.97</v>
      </c>
      <c r="M129" s="276">
        <f t="shared" si="4"/>
        <v>648419.3999999985</v>
      </c>
      <c r="N129" s="91"/>
      <c r="O129" s="91"/>
      <c r="P129" s="91"/>
      <c r="Q129" s="91"/>
      <c r="R129" s="91"/>
      <c r="S129" s="91"/>
      <c r="T129" s="91"/>
      <c r="U129" s="91"/>
      <c r="V129" s="91"/>
    </row>
    <row r="130" spans="1:22" s="10" customFormat="1" ht="15">
      <c r="A130" s="170" t="s">
        <v>613</v>
      </c>
      <c r="B130" s="144" t="s">
        <v>253</v>
      </c>
      <c r="C130" s="171" t="s">
        <v>1392</v>
      </c>
      <c r="D130" s="172" t="s">
        <v>1393</v>
      </c>
      <c r="E130" s="172" t="s">
        <v>708</v>
      </c>
      <c r="F130" s="172" t="s">
        <v>1397</v>
      </c>
      <c r="G130" s="172" t="s">
        <v>710</v>
      </c>
      <c r="H130" s="172" t="s">
        <v>1394</v>
      </c>
      <c r="I130" s="146" t="s">
        <v>1395</v>
      </c>
      <c r="J130" s="173" t="s">
        <v>709</v>
      </c>
      <c r="K130" s="276">
        <f>K131</f>
        <v>33885138.37</v>
      </c>
      <c r="L130" s="276">
        <f>L131</f>
        <v>33236718.97</v>
      </c>
      <c r="M130" s="276">
        <f t="shared" si="4"/>
        <v>648419.3999999985</v>
      </c>
      <c r="N130" s="91"/>
      <c r="O130" s="91"/>
      <c r="P130" s="91"/>
      <c r="Q130" s="91"/>
      <c r="R130" s="91"/>
      <c r="S130" s="91"/>
      <c r="T130" s="91"/>
      <c r="U130" s="91"/>
      <c r="V130" s="91"/>
    </row>
    <row r="131" spans="1:22" s="10" customFormat="1" ht="22.5">
      <c r="A131" s="170" t="s">
        <v>731</v>
      </c>
      <c r="B131" s="144" t="s">
        <v>253</v>
      </c>
      <c r="C131" s="171" t="s">
        <v>1392</v>
      </c>
      <c r="D131" s="172" t="s">
        <v>1393</v>
      </c>
      <c r="E131" s="172" t="s">
        <v>708</v>
      </c>
      <c r="F131" s="172" t="s">
        <v>1397</v>
      </c>
      <c r="G131" s="172" t="s">
        <v>711</v>
      </c>
      <c r="H131" s="172" t="s">
        <v>673</v>
      </c>
      <c r="I131" s="146" t="s">
        <v>1395</v>
      </c>
      <c r="J131" s="173" t="s">
        <v>709</v>
      </c>
      <c r="K131" s="276">
        <f>K132+K133</f>
        <v>33885138.37</v>
      </c>
      <c r="L131" s="276">
        <f>L132+L133</f>
        <v>33236718.97</v>
      </c>
      <c r="M131" s="276">
        <f t="shared" si="4"/>
        <v>648419.3999999985</v>
      </c>
      <c r="N131" s="91"/>
      <c r="O131" s="91"/>
      <c r="P131" s="91"/>
      <c r="Q131" s="91"/>
      <c r="R131" s="91"/>
      <c r="S131" s="91"/>
      <c r="T131" s="91"/>
      <c r="U131" s="91"/>
      <c r="V131" s="91"/>
    </row>
    <row r="132" spans="1:22" s="10" customFormat="1" ht="22.5">
      <c r="A132" s="170" t="s">
        <v>731</v>
      </c>
      <c r="B132" s="144" t="s">
        <v>253</v>
      </c>
      <c r="C132" s="171" t="s">
        <v>1034</v>
      </c>
      <c r="D132" s="172" t="s">
        <v>1393</v>
      </c>
      <c r="E132" s="172" t="s">
        <v>708</v>
      </c>
      <c r="F132" s="172" t="s">
        <v>1397</v>
      </c>
      <c r="G132" s="146" t="s">
        <v>711</v>
      </c>
      <c r="H132" s="172" t="s">
        <v>673</v>
      </c>
      <c r="I132" s="146" t="s">
        <v>1395</v>
      </c>
      <c r="J132" s="173" t="s">
        <v>709</v>
      </c>
      <c r="K132" s="299">
        <f>27000+21000</f>
        <v>48000</v>
      </c>
      <c r="L132" s="221">
        <v>47841.65</v>
      </c>
      <c r="M132" s="276">
        <f t="shared" si="4"/>
        <v>158.34999999999854</v>
      </c>
      <c r="N132" s="91"/>
      <c r="O132" s="91"/>
      <c r="P132" s="91"/>
      <c r="Q132" s="91"/>
      <c r="R132" s="91"/>
      <c r="S132" s="91"/>
      <c r="T132" s="91"/>
      <c r="U132" s="91"/>
      <c r="V132" s="91"/>
    </row>
    <row r="133" spans="1:22" s="10" customFormat="1" ht="22.5">
      <c r="A133" s="170" t="s">
        <v>731</v>
      </c>
      <c r="B133" s="144" t="s">
        <v>253</v>
      </c>
      <c r="C133" s="171" t="s">
        <v>712</v>
      </c>
      <c r="D133" s="172" t="s">
        <v>1393</v>
      </c>
      <c r="E133" s="172" t="s">
        <v>708</v>
      </c>
      <c r="F133" s="172" t="s">
        <v>1397</v>
      </c>
      <c r="G133" s="146" t="s">
        <v>711</v>
      </c>
      <c r="H133" s="172" t="s">
        <v>673</v>
      </c>
      <c r="I133" s="146" t="s">
        <v>1395</v>
      </c>
      <c r="J133" s="173" t="s">
        <v>709</v>
      </c>
      <c r="K133" s="299">
        <f>33112380.02+724758.35</f>
        <v>33837138.37</v>
      </c>
      <c r="L133" s="221">
        <v>33188877.32</v>
      </c>
      <c r="M133" s="275">
        <f t="shared" si="4"/>
        <v>648261.049999997</v>
      </c>
      <c r="N133" s="91"/>
      <c r="O133" s="91"/>
      <c r="P133" s="91"/>
      <c r="Q133" s="91"/>
      <c r="R133" s="91"/>
      <c r="S133" s="91"/>
      <c r="T133" s="91"/>
      <c r="U133" s="91"/>
      <c r="V133" s="91"/>
    </row>
    <row r="134" spans="1:22" s="10" customFormat="1" ht="15">
      <c r="A134" s="166" t="s">
        <v>732</v>
      </c>
      <c r="B134" s="135" t="s">
        <v>253</v>
      </c>
      <c r="C134" s="167" t="s">
        <v>1392</v>
      </c>
      <c r="D134" s="168" t="s">
        <v>1393</v>
      </c>
      <c r="E134" s="168" t="s">
        <v>708</v>
      </c>
      <c r="F134" s="168" t="s">
        <v>1400</v>
      </c>
      <c r="G134" s="141" t="s">
        <v>1392</v>
      </c>
      <c r="H134" s="168" t="s">
        <v>1394</v>
      </c>
      <c r="I134" s="141" t="s">
        <v>1395</v>
      </c>
      <c r="J134" s="169" t="s">
        <v>709</v>
      </c>
      <c r="K134" s="275">
        <f>K135</f>
        <v>5836299.8</v>
      </c>
      <c r="L134" s="275">
        <f>L135</f>
        <v>5869212.869999999</v>
      </c>
      <c r="M134" s="275" t="str">
        <f t="shared" si="4"/>
        <v>-</v>
      </c>
      <c r="N134" s="91"/>
      <c r="O134" s="91"/>
      <c r="P134" s="91"/>
      <c r="Q134" s="91"/>
      <c r="R134" s="91"/>
      <c r="S134" s="91"/>
      <c r="T134" s="91"/>
      <c r="U134" s="91"/>
      <c r="V134" s="91"/>
    </row>
    <row r="135" spans="1:22" s="10" customFormat="1" ht="15">
      <c r="A135" s="166" t="s">
        <v>733</v>
      </c>
      <c r="B135" s="135" t="s">
        <v>253</v>
      </c>
      <c r="C135" s="167" t="s">
        <v>1392</v>
      </c>
      <c r="D135" s="168" t="s">
        <v>1393</v>
      </c>
      <c r="E135" s="168" t="s">
        <v>708</v>
      </c>
      <c r="F135" s="168" t="s">
        <v>1400</v>
      </c>
      <c r="G135" s="141" t="s">
        <v>710</v>
      </c>
      <c r="H135" s="168" t="s">
        <v>1394</v>
      </c>
      <c r="I135" s="141" t="s">
        <v>1395</v>
      </c>
      <c r="J135" s="169" t="s">
        <v>709</v>
      </c>
      <c r="K135" s="275">
        <f>K136</f>
        <v>5836299.8</v>
      </c>
      <c r="L135" s="275">
        <f>L136</f>
        <v>5869212.869999999</v>
      </c>
      <c r="M135" s="276" t="str">
        <f t="shared" si="4"/>
        <v>-</v>
      </c>
      <c r="N135" s="91"/>
      <c r="O135" s="91"/>
      <c r="P135" s="91"/>
      <c r="Q135" s="91"/>
      <c r="R135" s="91"/>
      <c r="S135" s="91"/>
      <c r="T135" s="91"/>
      <c r="U135" s="91"/>
      <c r="V135" s="91"/>
    </row>
    <row r="136" spans="1:22" s="10" customFormat="1" ht="15">
      <c r="A136" s="170" t="s">
        <v>734</v>
      </c>
      <c r="B136" s="144" t="s">
        <v>253</v>
      </c>
      <c r="C136" s="171" t="s">
        <v>1392</v>
      </c>
      <c r="D136" s="172" t="s">
        <v>1393</v>
      </c>
      <c r="E136" s="172" t="s">
        <v>708</v>
      </c>
      <c r="F136" s="172" t="s">
        <v>1400</v>
      </c>
      <c r="G136" s="146" t="s">
        <v>711</v>
      </c>
      <c r="H136" s="172" t="s">
        <v>673</v>
      </c>
      <c r="I136" s="146" t="s">
        <v>1395</v>
      </c>
      <c r="J136" s="173" t="s">
        <v>709</v>
      </c>
      <c r="K136" s="276">
        <f>K137+K143</f>
        <v>5836299.8</v>
      </c>
      <c r="L136" s="276">
        <f>L137+L143</f>
        <v>5869212.869999999</v>
      </c>
      <c r="M136" s="276" t="str">
        <f t="shared" si="4"/>
        <v>-</v>
      </c>
      <c r="N136" s="91"/>
      <c r="O136" s="91"/>
      <c r="P136" s="91"/>
      <c r="Q136" s="91"/>
      <c r="R136" s="91"/>
      <c r="S136" s="91"/>
      <c r="T136" s="91"/>
      <c r="U136" s="91"/>
      <c r="V136" s="91"/>
    </row>
    <row r="137" spans="1:22" s="10" customFormat="1" ht="22.5">
      <c r="A137" s="170" t="s">
        <v>713</v>
      </c>
      <c r="B137" s="144" t="s">
        <v>253</v>
      </c>
      <c r="C137" s="171" t="s">
        <v>1392</v>
      </c>
      <c r="D137" s="172" t="s">
        <v>1393</v>
      </c>
      <c r="E137" s="172" t="s">
        <v>708</v>
      </c>
      <c r="F137" s="172" t="s">
        <v>1400</v>
      </c>
      <c r="G137" s="172" t="s">
        <v>711</v>
      </c>
      <c r="H137" s="172" t="s">
        <v>673</v>
      </c>
      <c r="I137" s="146" t="s">
        <v>721</v>
      </c>
      <c r="J137" s="173" t="s">
        <v>709</v>
      </c>
      <c r="K137" s="276">
        <f>SUM(K138:K142)</f>
        <v>1607423.21</v>
      </c>
      <c r="L137" s="276">
        <f>SUM(L138:L142)</f>
        <v>1642895.1400000001</v>
      </c>
      <c r="M137" s="276" t="str">
        <f t="shared" si="4"/>
        <v>-</v>
      </c>
      <c r="N137" s="91"/>
      <c r="O137" s="91"/>
      <c r="P137" s="91"/>
      <c r="Q137" s="91"/>
      <c r="R137" s="91"/>
      <c r="S137" s="91"/>
      <c r="T137" s="91"/>
      <c r="U137" s="91"/>
      <c r="V137" s="91"/>
    </row>
    <row r="138" spans="1:22" s="10" customFormat="1" ht="22.5">
      <c r="A138" s="170" t="s">
        <v>713</v>
      </c>
      <c r="B138" s="144" t="s">
        <v>253</v>
      </c>
      <c r="C138" s="171" t="s">
        <v>1034</v>
      </c>
      <c r="D138" s="172" t="s">
        <v>1393</v>
      </c>
      <c r="E138" s="172" t="s">
        <v>708</v>
      </c>
      <c r="F138" s="172" t="s">
        <v>1400</v>
      </c>
      <c r="G138" s="172" t="s">
        <v>711</v>
      </c>
      <c r="H138" s="172" t="s">
        <v>673</v>
      </c>
      <c r="I138" s="146" t="s">
        <v>721</v>
      </c>
      <c r="J138" s="173" t="s">
        <v>709</v>
      </c>
      <c r="K138" s="221">
        <v>31885.21</v>
      </c>
      <c r="L138" s="221">
        <v>31885.21</v>
      </c>
      <c r="M138" s="281" t="str">
        <f t="shared" si="4"/>
        <v>-</v>
      </c>
      <c r="N138" s="91"/>
      <c r="O138" s="91"/>
      <c r="P138" s="91"/>
      <c r="Q138" s="91"/>
      <c r="R138" s="91"/>
      <c r="S138" s="91"/>
      <c r="T138" s="91"/>
      <c r="U138" s="91"/>
      <c r="V138" s="91"/>
    </row>
    <row r="139" spans="1:22" s="10" customFormat="1" ht="22.5">
      <c r="A139" s="170" t="s">
        <v>713</v>
      </c>
      <c r="B139" s="144" t="s">
        <v>253</v>
      </c>
      <c r="C139" s="171" t="s">
        <v>714</v>
      </c>
      <c r="D139" s="172" t="s">
        <v>1393</v>
      </c>
      <c r="E139" s="172" t="s">
        <v>708</v>
      </c>
      <c r="F139" s="172" t="s">
        <v>1400</v>
      </c>
      <c r="G139" s="172" t="s">
        <v>711</v>
      </c>
      <c r="H139" s="172" t="s">
        <v>673</v>
      </c>
      <c r="I139" s="146" t="s">
        <v>721</v>
      </c>
      <c r="J139" s="173" t="s">
        <v>709</v>
      </c>
      <c r="K139" s="299">
        <v>1944</v>
      </c>
      <c r="L139" s="246">
        <v>1944</v>
      </c>
      <c r="M139" s="276" t="str">
        <f t="shared" si="4"/>
        <v>-</v>
      </c>
      <c r="N139" s="91"/>
      <c r="O139" s="91"/>
      <c r="P139" s="91"/>
      <c r="Q139" s="91"/>
      <c r="R139" s="91"/>
      <c r="S139" s="91"/>
      <c r="T139" s="91"/>
      <c r="U139" s="91"/>
      <c r="V139" s="91"/>
    </row>
    <row r="140" spans="1:22" s="10" customFormat="1" ht="22.5">
      <c r="A140" s="170" t="s">
        <v>713</v>
      </c>
      <c r="B140" s="144" t="s">
        <v>253</v>
      </c>
      <c r="C140" s="171" t="s">
        <v>715</v>
      </c>
      <c r="D140" s="172" t="s">
        <v>1393</v>
      </c>
      <c r="E140" s="172" t="s">
        <v>708</v>
      </c>
      <c r="F140" s="172" t="s">
        <v>1400</v>
      </c>
      <c r="G140" s="172" t="s">
        <v>711</v>
      </c>
      <c r="H140" s="172" t="s">
        <v>673</v>
      </c>
      <c r="I140" s="146" t="s">
        <v>721</v>
      </c>
      <c r="J140" s="173" t="s">
        <v>709</v>
      </c>
      <c r="K140" s="299">
        <f>49000+139094</f>
        <v>188094</v>
      </c>
      <c r="L140" s="221">
        <v>242281.42</v>
      </c>
      <c r="M140" s="276" t="str">
        <f t="shared" si="4"/>
        <v>-</v>
      </c>
      <c r="N140" s="91"/>
      <c r="O140" s="91"/>
      <c r="P140" s="91"/>
      <c r="Q140" s="91"/>
      <c r="R140" s="91"/>
      <c r="S140" s="91"/>
      <c r="T140" s="91"/>
      <c r="U140" s="91"/>
      <c r="V140" s="91"/>
    </row>
    <row r="141" spans="1:22" s="10" customFormat="1" ht="22.5">
      <c r="A141" s="170" t="s">
        <v>713</v>
      </c>
      <c r="B141" s="144" t="s">
        <v>253</v>
      </c>
      <c r="C141" s="171" t="s">
        <v>712</v>
      </c>
      <c r="D141" s="172" t="s">
        <v>1393</v>
      </c>
      <c r="E141" s="172" t="s">
        <v>708</v>
      </c>
      <c r="F141" s="172" t="s">
        <v>1400</v>
      </c>
      <c r="G141" s="172" t="s">
        <v>711</v>
      </c>
      <c r="H141" s="172" t="s">
        <v>673</v>
      </c>
      <c r="I141" s="146" t="s">
        <v>721</v>
      </c>
      <c r="J141" s="173" t="s">
        <v>709</v>
      </c>
      <c r="K141" s="299">
        <f>666750+666550</f>
        <v>1333300</v>
      </c>
      <c r="L141" s="221">
        <v>1314584.51</v>
      </c>
      <c r="M141" s="281">
        <f t="shared" si="4"/>
        <v>18715.48999999999</v>
      </c>
      <c r="N141" s="91"/>
      <c r="O141" s="91"/>
      <c r="P141" s="91"/>
      <c r="Q141" s="91"/>
      <c r="R141" s="91"/>
      <c r="S141" s="91"/>
      <c r="T141" s="91"/>
      <c r="U141" s="91"/>
      <c r="V141" s="91"/>
    </row>
    <row r="142" spans="1:22" s="10" customFormat="1" ht="22.5">
      <c r="A142" s="170" t="s">
        <v>713</v>
      </c>
      <c r="B142" s="144" t="s">
        <v>253</v>
      </c>
      <c r="C142" s="145" t="s">
        <v>716</v>
      </c>
      <c r="D142" s="146" t="s">
        <v>1393</v>
      </c>
      <c r="E142" s="146" t="s">
        <v>708</v>
      </c>
      <c r="F142" s="146" t="s">
        <v>1400</v>
      </c>
      <c r="G142" s="146" t="s">
        <v>711</v>
      </c>
      <c r="H142" s="146" t="s">
        <v>673</v>
      </c>
      <c r="I142" s="146" t="s">
        <v>721</v>
      </c>
      <c r="J142" s="147" t="s">
        <v>709</v>
      </c>
      <c r="K142" s="299">
        <f>10000+42200</f>
        <v>52200</v>
      </c>
      <c r="L142" s="246">
        <v>52200</v>
      </c>
      <c r="M142" s="276" t="str">
        <f t="shared" si="4"/>
        <v>-</v>
      </c>
      <c r="N142" s="91"/>
      <c r="O142" s="91"/>
      <c r="P142" s="91"/>
      <c r="Q142" s="91"/>
      <c r="R142" s="91"/>
      <c r="S142" s="91"/>
      <c r="T142" s="91"/>
      <c r="U142" s="91"/>
      <c r="V142" s="91"/>
    </row>
    <row r="143" spans="1:22" s="10" customFormat="1" ht="15">
      <c r="A143" s="170" t="s">
        <v>64</v>
      </c>
      <c r="B143" s="144" t="s">
        <v>253</v>
      </c>
      <c r="C143" s="145" t="s">
        <v>1392</v>
      </c>
      <c r="D143" s="146" t="s">
        <v>1393</v>
      </c>
      <c r="E143" s="146" t="s">
        <v>708</v>
      </c>
      <c r="F143" s="146" t="s">
        <v>1400</v>
      </c>
      <c r="G143" s="146" t="s">
        <v>711</v>
      </c>
      <c r="H143" s="146" t="s">
        <v>673</v>
      </c>
      <c r="I143" s="146" t="s">
        <v>722</v>
      </c>
      <c r="J143" s="147" t="s">
        <v>709</v>
      </c>
      <c r="K143" s="276">
        <f>SUM(K144:K153)</f>
        <v>4228876.59</v>
      </c>
      <c r="L143" s="276">
        <f>SUM(L144:L153)</f>
        <v>4226317.7299999995</v>
      </c>
      <c r="M143" s="276">
        <f t="shared" si="4"/>
        <v>2558.8600000003353</v>
      </c>
      <c r="N143" s="91"/>
      <c r="O143" s="91"/>
      <c r="P143" s="91"/>
      <c r="Q143" s="91"/>
      <c r="R143" s="91"/>
      <c r="S143" s="91"/>
      <c r="T143" s="91"/>
      <c r="U143" s="91"/>
      <c r="V143" s="91"/>
    </row>
    <row r="144" spans="1:22" s="10" customFormat="1" ht="15">
      <c r="A144" s="170" t="s">
        <v>64</v>
      </c>
      <c r="B144" s="144" t="s">
        <v>253</v>
      </c>
      <c r="C144" s="145" t="s">
        <v>1034</v>
      </c>
      <c r="D144" s="146" t="s">
        <v>1393</v>
      </c>
      <c r="E144" s="146" t="s">
        <v>708</v>
      </c>
      <c r="F144" s="146" t="s">
        <v>1400</v>
      </c>
      <c r="G144" s="146" t="s">
        <v>711</v>
      </c>
      <c r="H144" s="146" t="s">
        <v>673</v>
      </c>
      <c r="I144" s="146" t="s">
        <v>722</v>
      </c>
      <c r="J144" s="147" t="s">
        <v>709</v>
      </c>
      <c r="K144" s="299">
        <f>2300000+361550</f>
        <v>2661550</v>
      </c>
      <c r="L144" s="221">
        <v>2664090.5</v>
      </c>
      <c r="M144" s="276" t="str">
        <f>IF(K144-L144&gt;0,K144-L144,"-")</f>
        <v>-</v>
      </c>
      <c r="N144" s="91"/>
      <c r="O144" s="91"/>
      <c r="P144" s="91"/>
      <c r="Q144" s="91"/>
      <c r="R144" s="91"/>
      <c r="S144" s="91"/>
      <c r="T144" s="91"/>
      <c r="U144" s="91"/>
      <c r="V144" s="91"/>
    </row>
    <row r="145" spans="1:22" s="10" customFormat="1" ht="15">
      <c r="A145" s="170" t="s">
        <v>64</v>
      </c>
      <c r="B145" s="144" t="s">
        <v>253</v>
      </c>
      <c r="C145" s="145" t="s">
        <v>2239</v>
      </c>
      <c r="D145" s="146" t="s">
        <v>1393</v>
      </c>
      <c r="E145" s="146" t="s">
        <v>708</v>
      </c>
      <c r="F145" s="146" t="s">
        <v>1400</v>
      </c>
      <c r="G145" s="146" t="s">
        <v>711</v>
      </c>
      <c r="H145" s="146" t="s">
        <v>673</v>
      </c>
      <c r="I145" s="146" t="s">
        <v>722</v>
      </c>
      <c r="J145" s="147" t="s">
        <v>709</v>
      </c>
      <c r="K145" s="299">
        <v>430.09</v>
      </c>
      <c r="L145" s="221">
        <v>430.09</v>
      </c>
      <c r="M145" s="276" t="str">
        <f t="shared" si="4"/>
        <v>-</v>
      </c>
      <c r="N145" s="91"/>
      <c r="O145" s="91"/>
      <c r="P145" s="91"/>
      <c r="Q145" s="91"/>
      <c r="R145" s="91"/>
      <c r="S145" s="91"/>
      <c r="T145" s="91"/>
      <c r="U145" s="91"/>
      <c r="V145" s="91"/>
    </row>
    <row r="146" spans="1:22" s="10" customFormat="1" ht="15">
      <c r="A146" s="170" t="s">
        <v>64</v>
      </c>
      <c r="B146" s="144" t="s">
        <v>253</v>
      </c>
      <c r="C146" s="145" t="s">
        <v>617</v>
      </c>
      <c r="D146" s="146" t="s">
        <v>1393</v>
      </c>
      <c r="E146" s="146" t="s">
        <v>708</v>
      </c>
      <c r="F146" s="146" t="s">
        <v>1400</v>
      </c>
      <c r="G146" s="146" t="s">
        <v>711</v>
      </c>
      <c r="H146" s="146" t="s">
        <v>673</v>
      </c>
      <c r="I146" s="146" t="s">
        <v>722</v>
      </c>
      <c r="J146" s="147" t="s">
        <v>709</v>
      </c>
      <c r="K146" s="299">
        <v>11748.15</v>
      </c>
      <c r="L146" s="221">
        <v>11748.15</v>
      </c>
      <c r="M146" s="276" t="str">
        <f t="shared" si="4"/>
        <v>-</v>
      </c>
      <c r="N146" s="91"/>
      <c r="O146" s="91"/>
      <c r="P146" s="91"/>
      <c r="Q146" s="91"/>
      <c r="R146" s="91"/>
      <c r="S146" s="91"/>
      <c r="T146" s="91"/>
      <c r="U146" s="91"/>
      <c r="V146" s="91"/>
    </row>
    <row r="147" spans="1:22" s="10" customFormat="1" ht="15">
      <c r="A147" s="170" t="s">
        <v>64</v>
      </c>
      <c r="B147" s="144" t="s">
        <v>253</v>
      </c>
      <c r="C147" s="145" t="s">
        <v>1022</v>
      </c>
      <c r="D147" s="146" t="s">
        <v>1393</v>
      </c>
      <c r="E147" s="146" t="s">
        <v>708</v>
      </c>
      <c r="F147" s="146" t="s">
        <v>1400</v>
      </c>
      <c r="G147" s="146" t="s">
        <v>711</v>
      </c>
      <c r="H147" s="146" t="s">
        <v>673</v>
      </c>
      <c r="I147" s="146" t="s">
        <v>722</v>
      </c>
      <c r="J147" s="147" t="s">
        <v>709</v>
      </c>
      <c r="K147" s="299">
        <f>1291.25+22.59</f>
        <v>1313.84</v>
      </c>
      <c r="L147" s="221">
        <v>1313.84</v>
      </c>
      <c r="M147" s="276" t="str">
        <f>IF(K147-L147&gt;0,K147-L147,"-")</f>
        <v>-</v>
      </c>
      <c r="N147" s="91"/>
      <c r="O147" s="91"/>
      <c r="P147" s="91"/>
      <c r="Q147" s="91"/>
      <c r="R147" s="91"/>
      <c r="S147" s="91"/>
      <c r="T147" s="91"/>
      <c r="U147" s="91"/>
      <c r="V147" s="91"/>
    </row>
    <row r="148" spans="1:22" s="10" customFormat="1" ht="15">
      <c r="A148" s="170" t="s">
        <v>64</v>
      </c>
      <c r="B148" s="144" t="s">
        <v>253</v>
      </c>
      <c r="C148" s="145" t="s">
        <v>65</v>
      </c>
      <c r="D148" s="146" t="s">
        <v>1393</v>
      </c>
      <c r="E148" s="146" t="s">
        <v>708</v>
      </c>
      <c r="F148" s="146" t="s">
        <v>1400</v>
      </c>
      <c r="G148" s="146" t="s">
        <v>711</v>
      </c>
      <c r="H148" s="146" t="s">
        <v>673</v>
      </c>
      <c r="I148" s="146" t="s">
        <v>722</v>
      </c>
      <c r="J148" s="147" t="s">
        <v>709</v>
      </c>
      <c r="K148" s="299">
        <f>65246.19+38835.73</f>
        <v>104081.92000000001</v>
      </c>
      <c r="L148" s="221">
        <v>104081.92</v>
      </c>
      <c r="M148" s="281">
        <f>IF(K148-L148&gt;0,K148-L148,"-")</f>
        <v>1.4551915228366852E-11</v>
      </c>
      <c r="N148" s="91"/>
      <c r="O148" s="91"/>
      <c r="P148" s="91"/>
      <c r="Q148" s="91"/>
      <c r="R148" s="91"/>
      <c r="S148" s="91"/>
      <c r="T148" s="91"/>
      <c r="U148" s="91"/>
      <c r="V148" s="91"/>
    </row>
    <row r="149" spans="1:22" s="10" customFormat="1" ht="15">
      <c r="A149" s="170" t="s">
        <v>64</v>
      </c>
      <c r="B149" s="144" t="s">
        <v>253</v>
      </c>
      <c r="C149" s="145" t="s">
        <v>66</v>
      </c>
      <c r="D149" s="146" t="s">
        <v>1393</v>
      </c>
      <c r="E149" s="146" t="s">
        <v>708</v>
      </c>
      <c r="F149" s="146" t="s">
        <v>1400</v>
      </c>
      <c r="G149" s="146" t="s">
        <v>711</v>
      </c>
      <c r="H149" s="146" t="s">
        <v>673</v>
      </c>
      <c r="I149" s="146" t="s">
        <v>722</v>
      </c>
      <c r="J149" s="147" t="s">
        <v>709</v>
      </c>
      <c r="K149" s="299">
        <f>51530.09+509.8</f>
        <v>52039.89</v>
      </c>
      <c r="L149" s="246">
        <v>66606.19</v>
      </c>
      <c r="M149" s="276" t="str">
        <f t="shared" si="4"/>
        <v>-</v>
      </c>
      <c r="N149" s="91"/>
      <c r="O149" s="91"/>
      <c r="P149" s="91"/>
      <c r="Q149" s="91"/>
      <c r="R149" s="91"/>
      <c r="S149" s="91"/>
      <c r="T149" s="91"/>
      <c r="U149" s="91"/>
      <c r="V149" s="91"/>
    </row>
    <row r="150" spans="1:22" s="10" customFormat="1" ht="15">
      <c r="A150" s="170" t="s">
        <v>64</v>
      </c>
      <c r="B150" s="144" t="s">
        <v>253</v>
      </c>
      <c r="C150" s="145" t="s">
        <v>1040</v>
      </c>
      <c r="D150" s="146" t="s">
        <v>1393</v>
      </c>
      <c r="E150" s="146" t="s">
        <v>708</v>
      </c>
      <c r="F150" s="146" t="s">
        <v>1400</v>
      </c>
      <c r="G150" s="146" t="s">
        <v>711</v>
      </c>
      <c r="H150" s="146" t="s">
        <v>673</v>
      </c>
      <c r="I150" s="146" t="s">
        <v>722</v>
      </c>
      <c r="J150" s="147" t="s">
        <v>709</v>
      </c>
      <c r="K150" s="299">
        <f>4027.59+7015</f>
        <v>11042.59</v>
      </c>
      <c r="L150" s="221">
        <v>11042.59</v>
      </c>
      <c r="M150" s="276" t="str">
        <f t="shared" si="4"/>
        <v>-</v>
      </c>
      <c r="N150" s="91"/>
      <c r="O150" s="91"/>
      <c r="P150" s="91"/>
      <c r="Q150" s="91"/>
      <c r="R150" s="91"/>
      <c r="S150" s="91"/>
      <c r="T150" s="91"/>
      <c r="U150" s="91"/>
      <c r="V150" s="91"/>
    </row>
    <row r="151" spans="1:22" s="12" customFormat="1" ht="15.75">
      <c r="A151" s="170" t="s">
        <v>64</v>
      </c>
      <c r="B151" s="144" t="s">
        <v>253</v>
      </c>
      <c r="C151" s="145" t="s">
        <v>712</v>
      </c>
      <c r="D151" s="146" t="s">
        <v>1393</v>
      </c>
      <c r="E151" s="146" t="s">
        <v>708</v>
      </c>
      <c r="F151" s="146" t="s">
        <v>1400</v>
      </c>
      <c r="G151" s="146" t="s">
        <v>711</v>
      </c>
      <c r="H151" s="146" t="s">
        <v>673</v>
      </c>
      <c r="I151" s="146" t="s">
        <v>722</v>
      </c>
      <c r="J151" s="147" t="s">
        <v>709</v>
      </c>
      <c r="K151" s="299">
        <f>1726586.41-358036.41</f>
        <v>1368550</v>
      </c>
      <c r="L151" s="221">
        <v>1348884.34</v>
      </c>
      <c r="M151" s="276">
        <f t="shared" si="4"/>
        <v>19665.659999999916</v>
      </c>
      <c r="N151" s="282"/>
      <c r="O151" s="282"/>
      <c r="P151" s="282"/>
      <c r="Q151" s="282"/>
      <c r="R151" s="282"/>
      <c r="S151" s="282"/>
      <c r="T151" s="282"/>
      <c r="U151" s="282"/>
      <c r="V151" s="282"/>
    </row>
    <row r="152" spans="1:22" s="10" customFormat="1" ht="15">
      <c r="A152" s="170" t="s">
        <v>64</v>
      </c>
      <c r="B152" s="144" t="s">
        <v>253</v>
      </c>
      <c r="C152" s="145" t="s">
        <v>716</v>
      </c>
      <c r="D152" s="146" t="s">
        <v>1393</v>
      </c>
      <c r="E152" s="146" t="s">
        <v>708</v>
      </c>
      <c r="F152" s="146" t="s">
        <v>1400</v>
      </c>
      <c r="G152" s="146" t="s">
        <v>711</v>
      </c>
      <c r="H152" s="146" t="s">
        <v>673</v>
      </c>
      <c r="I152" s="146" t="s">
        <v>722</v>
      </c>
      <c r="J152" s="147" t="s">
        <v>709</v>
      </c>
      <c r="K152" s="299">
        <f>76900-60619.89</f>
        <v>16280.11</v>
      </c>
      <c r="L152" s="221">
        <v>16280.11</v>
      </c>
      <c r="M152" s="281" t="str">
        <f t="shared" si="4"/>
        <v>-</v>
      </c>
      <c r="N152" s="91"/>
      <c r="O152" s="91"/>
      <c r="P152" s="91"/>
      <c r="Q152" s="91"/>
      <c r="R152" s="91"/>
      <c r="S152" s="91"/>
      <c r="T152" s="91"/>
      <c r="U152" s="91"/>
      <c r="V152" s="91"/>
    </row>
    <row r="153" spans="1:22" s="10" customFormat="1" ht="15">
      <c r="A153" s="170" t="s">
        <v>64</v>
      </c>
      <c r="B153" s="144" t="s">
        <v>253</v>
      </c>
      <c r="C153" s="145" t="s">
        <v>328</v>
      </c>
      <c r="D153" s="146" t="s">
        <v>1393</v>
      </c>
      <c r="E153" s="146" t="s">
        <v>708</v>
      </c>
      <c r="F153" s="146" t="s">
        <v>1400</v>
      </c>
      <c r="G153" s="146" t="s">
        <v>711</v>
      </c>
      <c r="H153" s="146" t="s">
        <v>673</v>
      </c>
      <c r="I153" s="146" t="s">
        <v>722</v>
      </c>
      <c r="J153" s="147" t="s">
        <v>709</v>
      </c>
      <c r="K153" s="299">
        <f>95510.99-93670.99</f>
        <v>1840</v>
      </c>
      <c r="L153" s="246">
        <v>1840</v>
      </c>
      <c r="M153" s="275" t="str">
        <f t="shared" si="4"/>
        <v>-</v>
      </c>
      <c r="N153" s="91"/>
      <c r="O153" s="91"/>
      <c r="P153" s="91"/>
      <c r="Q153" s="91"/>
      <c r="R153" s="91"/>
      <c r="S153" s="91"/>
      <c r="T153" s="91"/>
      <c r="U153" s="91"/>
      <c r="V153" s="91"/>
    </row>
    <row r="154" spans="1:22" s="10" customFormat="1" ht="15">
      <c r="A154" s="139" t="s">
        <v>735</v>
      </c>
      <c r="B154" s="135" t="s">
        <v>253</v>
      </c>
      <c r="C154" s="140" t="s">
        <v>1392</v>
      </c>
      <c r="D154" s="141" t="s">
        <v>1393</v>
      </c>
      <c r="E154" s="141" t="s">
        <v>67</v>
      </c>
      <c r="F154" s="141" t="s">
        <v>1394</v>
      </c>
      <c r="G154" s="141" t="s">
        <v>1392</v>
      </c>
      <c r="H154" s="141" t="s">
        <v>1394</v>
      </c>
      <c r="I154" s="141" t="s">
        <v>1395</v>
      </c>
      <c r="J154" s="142" t="s">
        <v>1392</v>
      </c>
      <c r="K154" s="275">
        <f>K155+K159</f>
        <v>399870.82999999996</v>
      </c>
      <c r="L154" s="275">
        <f>L155+L159</f>
        <v>443679.91000000003</v>
      </c>
      <c r="M154" s="275" t="str">
        <f t="shared" si="4"/>
        <v>-</v>
      </c>
      <c r="N154" s="91"/>
      <c r="O154" s="91"/>
      <c r="P154" s="91"/>
      <c r="Q154" s="91"/>
      <c r="R154" s="91"/>
      <c r="S154" s="91"/>
      <c r="T154" s="91"/>
      <c r="U154" s="91"/>
      <c r="V154" s="91"/>
    </row>
    <row r="155" spans="1:22" s="10" customFormat="1" ht="45">
      <c r="A155" s="174" t="s">
        <v>843</v>
      </c>
      <c r="B155" s="135" t="s">
        <v>253</v>
      </c>
      <c r="C155" s="140" t="s">
        <v>1392</v>
      </c>
      <c r="D155" s="141" t="s">
        <v>1393</v>
      </c>
      <c r="E155" s="141" t="s">
        <v>67</v>
      </c>
      <c r="F155" s="141" t="s">
        <v>1400</v>
      </c>
      <c r="G155" s="141" t="s">
        <v>1392</v>
      </c>
      <c r="H155" s="141" t="s">
        <v>1394</v>
      </c>
      <c r="I155" s="141" t="s">
        <v>1395</v>
      </c>
      <c r="J155" s="142" t="s">
        <v>1392</v>
      </c>
      <c r="K155" s="275">
        <f aca="true" t="shared" si="6" ref="K155:L157">K156</f>
        <v>32400</v>
      </c>
      <c r="L155" s="275">
        <f t="shared" si="6"/>
        <v>35100</v>
      </c>
      <c r="M155" s="276" t="str">
        <f t="shared" si="4"/>
        <v>-</v>
      </c>
      <c r="N155" s="91"/>
      <c r="O155" s="91"/>
      <c r="P155" s="91"/>
      <c r="Q155" s="91"/>
      <c r="R155" s="91"/>
      <c r="S155" s="91"/>
      <c r="T155" s="91"/>
      <c r="U155" s="91"/>
      <c r="V155" s="91"/>
    </row>
    <row r="156" spans="1:22" s="10" customFormat="1" ht="56.25">
      <c r="A156" s="143" t="s">
        <v>1622</v>
      </c>
      <c r="B156" s="144" t="s">
        <v>253</v>
      </c>
      <c r="C156" s="145" t="s">
        <v>1392</v>
      </c>
      <c r="D156" s="146" t="s">
        <v>1393</v>
      </c>
      <c r="E156" s="146" t="s">
        <v>67</v>
      </c>
      <c r="F156" s="146" t="s">
        <v>1400</v>
      </c>
      <c r="G156" s="146" t="s">
        <v>1037</v>
      </c>
      <c r="H156" s="146" t="s">
        <v>673</v>
      </c>
      <c r="I156" s="146" t="s">
        <v>1395</v>
      </c>
      <c r="J156" s="147" t="s">
        <v>1407</v>
      </c>
      <c r="K156" s="276">
        <f t="shared" si="6"/>
        <v>32400</v>
      </c>
      <c r="L156" s="276">
        <f t="shared" si="6"/>
        <v>35100</v>
      </c>
      <c r="M156" s="276" t="str">
        <f t="shared" si="4"/>
        <v>-</v>
      </c>
      <c r="N156" s="91"/>
      <c r="O156" s="91"/>
      <c r="P156" s="91"/>
      <c r="Q156" s="91"/>
      <c r="R156" s="91"/>
      <c r="S156" s="91"/>
      <c r="T156" s="91"/>
      <c r="U156" s="91"/>
      <c r="V156" s="91"/>
    </row>
    <row r="157" spans="1:22" s="10" customFormat="1" ht="56.25">
      <c r="A157" s="143" t="s">
        <v>741</v>
      </c>
      <c r="B157" s="144" t="s">
        <v>253</v>
      </c>
      <c r="C157" s="178" t="s">
        <v>1040</v>
      </c>
      <c r="D157" s="179" t="s">
        <v>1393</v>
      </c>
      <c r="E157" s="179" t="s">
        <v>67</v>
      </c>
      <c r="F157" s="179" t="s">
        <v>1400</v>
      </c>
      <c r="G157" s="179" t="s">
        <v>1363</v>
      </c>
      <c r="H157" s="179" t="s">
        <v>673</v>
      </c>
      <c r="I157" s="179" t="s">
        <v>1395</v>
      </c>
      <c r="J157" s="180" t="s">
        <v>1407</v>
      </c>
      <c r="K157" s="276">
        <f t="shared" si="6"/>
        <v>32400</v>
      </c>
      <c r="L157" s="276">
        <f t="shared" si="6"/>
        <v>35100</v>
      </c>
      <c r="M157" s="276" t="str">
        <f t="shared" si="4"/>
        <v>-</v>
      </c>
      <c r="N157" s="91"/>
      <c r="O157" s="91"/>
      <c r="P157" s="91"/>
      <c r="Q157" s="91"/>
      <c r="R157" s="91"/>
      <c r="S157" s="91"/>
      <c r="T157" s="91"/>
      <c r="U157" s="91"/>
      <c r="V157" s="91"/>
    </row>
    <row r="158" spans="1:22" s="12" customFormat="1" ht="22.5">
      <c r="A158" s="143" t="s">
        <v>319</v>
      </c>
      <c r="B158" s="144" t="s">
        <v>253</v>
      </c>
      <c r="C158" s="178" t="s">
        <v>1040</v>
      </c>
      <c r="D158" s="179" t="s">
        <v>1393</v>
      </c>
      <c r="E158" s="179" t="s">
        <v>67</v>
      </c>
      <c r="F158" s="179" t="s">
        <v>1400</v>
      </c>
      <c r="G158" s="179" t="s">
        <v>1363</v>
      </c>
      <c r="H158" s="179" t="s">
        <v>673</v>
      </c>
      <c r="I158" s="179" t="s">
        <v>722</v>
      </c>
      <c r="J158" s="180" t="s">
        <v>1407</v>
      </c>
      <c r="K158" s="221">
        <v>32400</v>
      </c>
      <c r="L158" s="221">
        <v>35100</v>
      </c>
      <c r="M158" s="277" t="str">
        <f t="shared" si="4"/>
        <v>-</v>
      </c>
      <c r="N158" s="282"/>
      <c r="O158" s="282"/>
      <c r="P158" s="282"/>
      <c r="Q158" s="282"/>
      <c r="R158" s="282"/>
      <c r="S158" s="282"/>
      <c r="T158" s="282"/>
      <c r="U158" s="282"/>
      <c r="V158" s="282"/>
    </row>
    <row r="159" spans="1:22" s="12" customFormat="1" ht="22.5">
      <c r="A159" s="139" t="s">
        <v>1232</v>
      </c>
      <c r="B159" s="135" t="s">
        <v>253</v>
      </c>
      <c r="C159" s="175" t="s">
        <v>1392</v>
      </c>
      <c r="D159" s="176" t="s">
        <v>1393</v>
      </c>
      <c r="E159" s="176" t="s">
        <v>67</v>
      </c>
      <c r="F159" s="176" t="s">
        <v>68</v>
      </c>
      <c r="G159" s="176" t="s">
        <v>1392</v>
      </c>
      <c r="H159" s="176" t="s">
        <v>1394</v>
      </c>
      <c r="I159" s="176" t="s">
        <v>1395</v>
      </c>
      <c r="J159" s="177" t="s">
        <v>69</v>
      </c>
      <c r="K159" s="277">
        <f>K160</f>
        <v>367470.82999999996</v>
      </c>
      <c r="L159" s="277">
        <f>L160</f>
        <v>408579.91000000003</v>
      </c>
      <c r="M159" s="278" t="str">
        <f t="shared" si="4"/>
        <v>-</v>
      </c>
      <c r="N159" s="282"/>
      <c r="O159" s="282"/>
      <c r="P159" s="282"/>
      <c r="Q159" s="282"/>
      <c r="R159" s="282"/>
      <c r="S159" s="282"/>
      <c r="T159" s="282"/>
      <c r="U159" s="282"/>
      <c r="V159" s="282"/>
    </row>
    <row r="160" spans="1:22" s="249" customFormat="1" ht="22.5">
      <c r="A160" s="143" t="s">
        <v>736</v>
      </c>
      <c r="B160" s="144" t="s">
        <v>253</v>
      </c>
      <c r="C160" s="178" t="s">
        <v>1392</v>
      </c>
      <c r="D160" s="179" t="s">
        <v>1393</v>
      </c>
      <c r="E160" s="179" t="s">
        <v>67</v>
      </c>
      <c r="F160" s="179" t="s">
        <v>68</v>
      </c>
      <c r="G160" s="179" t="s">
        <v>253</v>
      </c>
      <c r="H160" s="179" t="s">
        <v>1394</v>
      </c>
      <c r="I160" s="179" t="s">
        <v>1395</v>
      </c>
      <c r="J160" s="180" t="s">
        <v>69</v>
      </c>
      <c r="K160" s="278">
        <f>K161+K164</f>
        <v>367470.82999999996</v>
      </c>
      <c r="L160" s="278">
        <f>L161+L164</f>
        <v>408579.91000000003</v>
      </c>
      <c r="M160" s="278" t="str">
        <f>IF(K160-L160&gt;0,K160-L160,"-")</f>
        <v>-</v>
      </c>
      <c r="N160" s="284"/>
      <c r="O160" s="284"/>
      <c r="P160" s="284"/>
      <c r="Q160" s="284"/>
      <c r="R160" s="284"/>
      <c r="S160" s="284"/>
      <c r="T160" s="284"/>
      <c r="U160" s="284"/>
      <c r="V160" s="284"/>
    </row>
    <row r="161" spans="1:22" s="249" customFormat="1" ht="33.75">
      <c r="A161" s="216" t="s">
        <v>1999</v>
      </c>
      <c r="B161" s="217" t="s">
        <v>253</v>
      </c>
      <c r="C161" s="255" t="s">
        <v>1392</v>
      </c>
      <c r="D161" s="256" t="s">
        <v>1393</v>
      </c>
      <c r="E161" s="256" t="s">
        <v>67</v>
      </c>
      <c r="F161" s="256" t="s">
        <v>68</v>
      </c>
      <c r="G161" s="256" t="s">
        <v>719</v>
      </c>
      <c r="H161" s="256" t="s">
        <v>673</v>
      </c>
      <c r="I161" s="256" t="s">
        <v>1395</v>
      </c>
      <c r="J161" s="257" t="s">
        <v>69</v>
      </c>
      <c r="K161" s="278">
        <f>K162</f>
        <v>138052.84</v>
      </c>
      <c r="L161" s="278">
        <f>L162</f>
        <v>179161.92</v>
      </c>
      <c r="M161" s="278" t="str">
        <f>IF(K161-L161&gt;0,K161-L161,"-")</f>
        <v>-</v>
      </c>
      <c r="N161" s="284"/>
      <c r="O161" s="284"/>
      <c r="P161" s="284"/>
      <c r="Q161" s="284"/>
      <c r="R161" s="284"/>
      <c r="S161" s="284"/>
      <c r="T161" s="284"/>
      <c r="U161" s="284"/>
      <c r="V161" s="284"/>
    </row>
    <row r="162" spans="1:22" s="249" customFormat="1" ht="33.75">
      <c r="A162" s="216" t="s">
        <v>1999</v>
      </c>
      <c r="B162" s="217" t="s">
        <v>253</v>
      </c>
      <c r="C162" s="255" t="s">
        <v>1040</v>
      </c>
      <c r="D162" s="256" t="s">
        <v>1393</v>
      </c>
      <c r="E162" s="256" t="s">
        <v>67</v>
      </c>
      <c r="F162" s="256" t="s">
        <v>68</v>
      </c>
      <c r="G162" s="256" t="s">
        <v>719</v>
      </c>
      <c r="H162" s="256" t="s">
        <v>673</v>
      </c>
      <c r="I162" s="256" t="s">
        <v>1395</v>
      </c>
      <c r="J162" s="257" t="s">
        <v>69</v>
      </c>
      <c r="K162" s="362">
        <f>34116.18+103936.66</f>
        <v>138052.84</v>
      </c>
      <c r="L162" s="247">
        <v>179161.92</v>
      </c>
      <c r="M162" s="278" t="str">
        <f>IF(K162-L162&gt;0,K162-L162,"-")</f>
        <v>-</v>
      </c>
      <c r="N162" s="284"/>
      <c r="O162" s="284"/>
      <c r="P162" s="284"/>
      <c r="Q162" s="284"/>
      <c r="R162" s="284"/>
      <c r="S162" s="284"/>
      <c r="T162" s="284"/>
      <c r="U162" s="284"/>
      <c r="V162" s="284"/>
    </row>
    <row r="163" spans="1:22" s="10" customFormat="1" ht="22.5">
      <c r="A163" s="216" t="s">
        <v>1623</v>
      </c>
      <c r="B163" s="217" t="s">
        <v>253</v>
      </c>
      <c r="C163" s="218" t="s">
        <v>1392</v>
      </c>
      <c r="D163" s="219" t="s">
        <v>1393</v>
      </c>
      <c r="E163" s="219" t="s">
        <v>67</v>
      </c>
      <c r="F163" s="219" t="s">
        <v>68</v>
      </c>
      <c r="G163" s="219" t="s">
        <v>719</v>
      </c>
      <c r="H163" s="219" t="s">
        <v>708</v>
      </c>
      <c r="I163" s="219" t="s">
        <v>1395</v>
      </c>
      <c r="J163" s="220" t="s">
        <v>69</v>
      </c>
      <c r="K163" s="278">
        <f>K164</f>
        <v>229417.99</v>
      </c>
      <c r="L163" s="278">
        <f>L164</f>
        <v>229417.99</v>
      </c>
      <c r="M163" s="278" t="str">
        <f t="shared" si="4"/>
        <v>-</v>
      </c>
      <c r="N163" s="91"/>
      <c r="O163" s="91"/>
      <c r="P163" s="91"/>
      <c r="Q163" s="91"/>
      <c r="R163" s="91"/>
      <c r="S163" s="91"/>
      <c r="T163" s="91"/>
      <c r="U163" s="91"/>
      <c r="V163" s="91"/>
    </row>
    <row r="164" spans="1:22" s="12" customFormat="1" ht="22.5">
      <c r="A164" s="143" t="s">
        <v>1623</v>
      </c>
      <c r="B164" s="144" t="s">
        <v>253</v>
      </c>
      <c r="C164" s="145" t="s">
        <v>823</v>
      </c>
      <c r="D164" s="146" t="s">
        <v>1393</v>
      </c>
      <c r="E164" s="146" t="s">
        <v>67</v>
      </c>
      <c r="F164" s="146" t="s">
        <v>68</v>
      </c>
      <c r="G164" s="146" t="s">
        <v>719</v>
      </c>
      <c r="H164" s="146" t="s">
        <v>708</v>
      </c>
      <c r="I164" s="146" t="s">
        <v>1395</v>
      </c>
      <c r="J164" s="147" t="s">
        <v>69</v>
      </c>
      <c r="K164" s="362">
        <f>65483.58+163934.41</f>
        <v>229417.99</v>
      </c>
      <c r="L164" s="247">
        <v>229417.99</v>
      </c>
      <c r="M164" s="277" t="str">
        <f t="shared" si="4"/>
        <v>-</v>
      </c>
      <c r="N164" s="282"/>
      <c r="O164" s="282"/>
      <c r="P164" s="282"/>
      <c r="Q164" s="282"/>
      <c r="R164" s="282"/>
      <c r="S164" s="282"/>
      <c r="T164" s="282"/>
      <c r="U164" s="282"/>
      <c r="V164" s="282"/>
    </row>
    <row r="165" spans="1:22" s="12" customFormat="1" ht="15.75">
      <c r="A165" s="139" t="s">
        <v>1043</v>
      </c>
      <c r="B165" s="135" t="s">
        <v>253</v>
      </c>
      <c r="C165" s="140" t="s">
        <v>1392</v>
      </c>
      <c r="D165" s="141" t="s">
        <v>1393</v>
      </c>
      <c r="E165" s="141" t="s">
        <v>425</v>
      </c>
      <c r="F165" s="141" t="s">
        <v>1394</v>
      </c>
      <c r="G165" s="141" t="s">
        <v>1392</v>
      </c>
      <c r="H165" s="141" t="s">
        <v>1394</v>
      </c>
      <c r="I165" s="141" t="s">
        <v>1395</v>
      </c>
      <c r="J165" s="142" t="s">
        <v>1392</v>
      </c>
      <c r="K165" s="277">
        <f>K166+K174+K178+K183+K193+K197+K205+K208+K213+K186+K171</f>
        <v>9630230.71</v>
      </c>
      <c r="L165" s="277">
        <f>L166+L174+L178+L183+L193+L197+L205+L208+L213+L186+L171</f>
        <v>10183129.82</v>
      </c>
      <c r="M165" s="275" t="str">
        <f t="shared" si="4"/>
        <v>-</v>
      </c>
      <c r="N165" s="282"/>
      <c r="O165" s="282"/>
      <c r="P165" s="282"/>
      <c r="Q165" s="282"/>
      <c r="R165" s="282"/>
      <c r="S165" s="282"/>
      <c r="T165" s="282"/>
      <c r="U165" s="282"/>
      <c r="V165" s="282"/>
    </row>
    <row r="166" spans="1:22" s="12" customFormat="1" ht="22.5">
      <c r="A166" s="139" t="s">
        <v>1044</v>
      </c>
      <c r="B166" s="135" t="s">
        <v>253</v>
      </c>
      <c r="C166" s="140" t="s">
        <v>1392</v>
      </c>
      <c r="D166" s="141" t="s">
        <v>1393</v>
      </c>
      <c r="E166" s="141" t="s">
        <v>425</v>
      </c>
      <c r="F166" s="141" t="s">
        <v>609</v>
      </c>
      <c r="G166" s="141" t="s">
        <v>1392</v>
      </c>
      <c r="H166" s="141" t="s">
        <v>1394</v>
      </c>
      <c r="I166" s="141" t="s">
        <v>1395</v>
      </c>
      <c r="J166" s="142" t="s">
        <v>426</v>
      </c>
      <c r="K166" s="275">
        <f>K167+K169</f>
        <v>170000</v>
      </c>
      <c r="L166" s="275">
        <f>L167+L169</f>
        <v>127093.67</v>
      </c>
      <c r="M166" s="276">
        <f t="shared" si="4"/>
        <v>42906.33</v>
      </c>
      <c r="N166" s="282"/>
      <c r="O166" s="282"/>
      <c r="P166" s="282"/>
      <c r="Q166" s="282"/>
      <c r="R166" s="282"/>
      <c r="S166" s="282"/>
      <c r="T166" s="282"/>
      <c r="U166" s="282"/>
      <c r="V166" s="282"/>
    </row>
    <row r="167" spans="1:22" s="12" customFormat="1" ht="45">
      <c r="A167" s="143" t="s">
        <v>1624</v>
      </c>
      <c r="B167" s="144" t="s">
        <v>253</v>
      </c>
      <c r="C167" s="145" t="s">
        <v>1396</v>
      </c>
      <c r="D167" s="146" t="s">
        <v>1393</v>
      </c>
      <c r="E167" s="146" t="s">
        <v>425</v>
      </c>
      <c r="F167" s="146" t="s">
        <v>609</v>
      </c>
      <c r="G167" s="146" t="s">
        <v>253</v>
      </c>
      <c r="H167" s="146" t="s">
        <v>1397</v>
      </c>
      <c r="I167" s="146" t="s">
        <v>1395</v>
      </c>
      <c r="J167" s="147" t="s">
        <v>426</v>
      </c>
      <c r="K167" s="299">
        <f>109000+49000</f>
        <v>158000</v>
      </c>
      <c r="L167" s="276">
        <f>L168</f>
        <v>117448.66</v>
      </c>
      <c r="M167" s="276">
        <f t="shared" si="4"/>
        <v>40551.34</v>
      </c>
      <c r="N167" s="282"/>
      <c r="O167" s="282"/>
      <c r="P167" s="282"/>
      <c r="Q167" s="282"/>
      <c r="R167" s="282"/>
      <c r="S167" s="282"/>
      <c r="T167" s="282"/>
      <c r="U167" s="282"/>
      <c r="V167" s="282"/>
    </row>
    <row r="168" spans="1:22" s="12" customFormat="1" ht="56.25">
      <c r="A168" s="148" t="s">
        <v>825</v>
      </c>
      <c r="B168" s="144" t="s">
        <v>253</v>
      </c>
      <c r="C168" s="145" t="s">
        <v>1396</v>
      </c>
      <c r="D168" s="146" t="s">
        <v>1393</v>
      </c>
      <c r="E168" s="146" t="s">
        <v>425</v>
      </c>
      <c r="F168" s="146" t="s">
        <v>609</v>
      </c>
      <c r="G168" s="209" t="s">
        <v>253</v>
      </c>
      <c r="H168" s="146" t="s">
        <v>1397</v>
      </c>
      <c r="I168" s="146" t="s">
        <v>707</v>
      </c>
      <c r="J168" s="147" t="s">
        <v>426</v>
      </c>
      <c r="K168" s="221">
        <v>0</v>
      </c>
      <c r="L168" s="221">
        <v>117448.66</v>
      </c>
      <c r="M168" s="276" t="str">
        <f t="shared" si="4"/>
        <v>-</v>
      </c>
      <c r="N168" s="282"/>
      <c r="O168" s="282"/>
      <c r="P168" s="282"/>
      <c r="Q168" s="282"/>
      <c r="R168" s="282"/>
      <c r="S168" s="282"/>
      <c r="T168" s="282"/>
      <c r="U168" s="282"/>
      <c r="V168" s="282"/>
    </row>
    <row r="169" spans="1:22" s="10" customFormat="1" ht="33.75">
      <c r="A169" s="143" t="s">
        <v>239</v>
      </c>
      <c r="B169" s="144" t="s">
        <v>253</v>
      </c>
      <c r="C169" s="145" t="s">
        <v>1396</v>
      </c>
      <c r="D169" s="146" t="s">
        <v>1393</v>
      </c>
      <c r="E169" s="146" t="s">
        <v>425</v>
      </c>
      <c r="F169" s="146" t="s">
        <v>609</v>
      </c>
      <c r="G169" s="146" t="s">
        <v>639</v>
      </c>
      <c r="H169" s="146" t="s">
        <v>1397</v>
      </c>
      <c r="I169" s="146" t="s">
        <v>1395</v>
      </c>
      <c r="J169" s="147" t="s">
        <v>426</v>
      </c>
      <c r="K169" s="221">
        <v>12000</v>
      </c>
      <c r="L169" s="276">
        <f>L170</f>
        <v>9645.01</v>
      </c>
      <c r="M169" s="276">
        <f t="shared" si="4"/>
        <v>2354.99</v>
      </c>
      <c r="N169" s="91"/>
      <c r="O169" s="91"/>
      <c r="P169" s="91"/>
      <c r="Q169" s="91"/>
      <c r="R169" s="91"/>
      <c r="S169" s="91"/>
      <c r="T169" s="91"/>
      <c r="U169" s="91"/>
      <c r="V169" s="91"/>
    </row>
    <row r="170" spans="1:22" s="10" customFormat="1" ht="56.25">
      <c r="A170" s="143" t="s">
        <v>1985</v>
      </c>
      <c r="B170" s="144" t="s">
        <v>253</v>
      </c>
      <c r="C170" s="145" t="s">
        <v>1396</v>
      </c>
      <c r="D170" s="146" t="s">
        <v>1393</v>
      </c>
      <c r="E170" s="146" t="s">
        <v>425</v>
      </c>
      <c r="F170" s="146" t="s">
        <v>609</v>
      </c>
      <c r="G170" s="146" t="s">
        <v>639</v>
      </c>
      <c r="H170" s="146" t="s">
        <v>1397</v>
      </c>
      <c r="I170" s="146" t="s">
        <v>707</v>
      </c>
      <c r="J170" s="147" t="s">
        <v>426</v>
      </c>
      <c r="K170" s="221">
        <v>0</v>
      </c>
      <c r="L170" s="221">
        <v>9645.01</v>
      </c>
      <c r="M170" s="275" t="str">
        <f t="shared" si="4"/>
        <v>-</v>
      </c>
      <c r="N170" s="91"/>
      <c r="O170" s="91"/>
      <c r="P170" s="91"/>
      <c r="Q170" s="91"/>
      <c r="R170" s="91"/>
      <c r="S170" s="91"/>
      <c r="T170" s="91"/>
      <c r="U170" s="91"/>
      <c r="V170" s="91"/>
    </row>
    <row r="171" spans="1:22" s="10" customFormat="1" ht="33.75">
      <c r="A171" s="268" t="s">
        <v>2241</v>
      </c>
      <c r="B171" s="135" t="s">
        <v>253</v>
      </c>
      <c r="C171" s="140" t="s">
        <v>1392</v>
      </c>
      <c r="D171" s="141" t="s">
        <v>1393</v>
      </c>
      <c r="E171" s="141" t="s">
        <v>425</v>
      </c>
      <c r="F171" s="141" t="s">
        <v>68</v>
      </c>
      <c r="G171" s="141" t="s">
        <v>1392</v>
      </c>
      <c r="H171" s="141" t="s">
        <v>1397</v>
      </c>
      <c r="I171" s="141" t="s">
        <v>1395</v>
      </c>
      <c r="J171" s="142" t="s">
        <v>426</v>
      </c>
      <c r="K171" s="275">
        <f>K172</f>
        <v>200</v>
      </c>
      <c r="L171" s="275">
        <f>L172</f>
        <v>200</v>
      </c>
      <c r="M171" s="276" t="str">
        <f>IF(K171-L171&gt;0,K171-L171,"-")</f>
        <v>-</v>
      </c>
      <c r="N171" s="91"/>
      <c r="O171" s="91"/>
      <c r="P171" s="91"/>
      <c r="Q171" s="91"/>
      <c r="R171" s="91"/>
      <c r="S171" s="91"/>
      <c r="T171" s="91"/>
      <c r="U171" s="91"/>
      <c r="V171" s="91"/>
    </row>
    <row r="172" spans="1:22" s="10" customFormat="1" ht="33.75">
      <c r="A172" s="199" t="s">
        <v>2241</v>
      </c>
      <c r="B172" s="144" t="s">
        <v>253</v>
      </c>
      <c r="C172" s="145" t="s">
        <v>1396</v>
      </c>
      <c r="D172" s="146" t="s">
        <v>1393</v>
      </c>
      <c r="E172" s="146" t="s">
        <v>425</v>
      </c>
      <c r="F172" s="146" t="s">
        <v>68</v>
      </c>
      <c r="G172" s="146" t="s">
        <v>1392</v>
      </c>
      <c r="H172" s="146" t="s">
        <v>1397</v>
      </c>
      <c r="I172" s="146" t="s">
        <v>1395</v>
      </c>
      <c r="J172" s="147" t="s">
        <v>426</v>
      </c>
      <c r="K172" s="299">
        <v>200</v>
      </c>
      <c r="L172" s="276">
        <f>L173</f>
        <v>200</v>
      </c>
      <c r="M172" s="275" t="str">
        <f t="shared" si="4"/>
        <v>-</v>
      </c>
      <c r="N172" s="91"/>
      <c r="O172" s="91"/>
      <c r="P172" s="91"/>
      <c r="Q172" s="91"/>
      <c r="R172" s="91"/>
      <c r="S172" s="91"/>
      <c r="T172" s="91"/>
      <c r="U172" s="91"/>
      <c r="V172" s="91"/>
    </row>
    <row r="173" spans="1:22" s="10" customFormat="1" ht="56.25">
      <c r="A173" s="199" t="s">
        <v>2240</v>
      </c>
      <c r="B173" s="144" t="s">
        <v>253</v>
      </c>
      <c r="C173" s="145" t="s">
        <v>1396</v>
      </c>
      <c r="D173" s="146" t="s">
        <v>1393</v>
      </c>
      <c r="E173" s="146" t="s">
        <v>425</v>
      </c>
      <c r="F173" s="146" t="s">
        <v>68</v>
      </c>
      <c r="G173" s="146" t="s">
        <v>1392</v>
      </c>
      <c r="H173" s="146" t="s">
        <v>1397</v>
      </c>
      <c r="I173" s="146" t="s">
        <v>707</v>
      </c>
      <c r="J173" s="147" t="s">
        <v>426</v>
      </c>
      <c r="K173" s="299">
        <v>0</v>
      </c>
      <c r="L173" s="221">
        <v>200</v>
      </c>
      <c r="M173" s="276" t="str">
        <f>IF(K173-L173&gt;0,K173-L173,"-")</f>
        <v>-</v>
      </c>
      <c r="N173" s="91"/>
      <c r="O173" s="91"/>
      <c r="P173" s="91"/>
      <c r="Q173" s="91"/>
      <c r="R173" s="91"/>
      <c r="S173" s="91"/>
      <c r="T173" s="91"/>
      <c r="U173" s="91"/>
      <c r="V173" s="91"/>
    </row>
    <row r="174" spans="1:22" s="10" customFormat="1" ht="33.75">
      <c r="A174" s="139" t="s">
        <v>240</v>
      </c>
      <c r="B174" s="135" t="s">
        <v>253</v>
      </c>
      <c r="C174" s="140" t="s">
        <v>1392</v>
      </c>
      <c r="D174" s="141" t="s">
        <v>1393</v>
      </c>
      <c r="E174" s="141" t="s">
        <v>425</v>
      </c>
      <c r="F174" s="141" t="s">
        <v>610</v>
      </c>
      <c r="G174" s="141" t="s">
        <v>1392</v>
      </c>
      <c r="H174" s="141" t="s">
        <v>1397</v>
      </c>
      <c r="I174" s="141" t="s">
        <v>1395</v>
      </c>
      <c r="J174" s="142" t="s">
        <v>426</v>
      </c>
      <c r="K174" s="275">
        <f>K175</f>
        <v>300000</v>
      </c>
      <c r="L174" s="275">
        <f>L175</f>
        <v>464500</v>
      </c>
      <c r="M174" s="276" t="str">
        <f t="shared" si="4"/>
        <v>-</v>
      </c>
      <c r="N174" s="91"/>
      <c r="O174" s="91"/>
      <c r="P174" s="91"/>
      <c r="Q174" s="91"/>
      <c r="R174" s="91"/>
      <c r="S174" s="91"/>
      <c r="T174" s="91"/>
      <c r="U174" s="91"/>
      <c r="V174" s="91"/>
    </row>
    <row r="175" spans="1:22" s="10" customFormat="1" ht="33.75">
      <c r="A175" s="143" t="s">
        <v>587</v>
      </c>
      <c r="B175" s="144" t="s">
        <v>253</v>
      </c>
      <c r="C175" s="145" t="s">
        <v>1392</v>
      </c>
      <c r="D175" s="146" t="s">
        <v>1393</v>
      </c>
      <c r="E175" s="146" t="s">
        <v>425</v>
      </c>
      <c r="F175" s="146" t="s">
        <v>610</v>
      </c>
      <c r="G175" s="146" t="s">
        <v>253</v>
      </c>
      <c r="H175" s="146" t="s">
        <v>1397</v>
      </c>
      <c r="I175" s="146" t="s">
        <v>1395</v>
      </c>
      <c r="J175" s="147" t="s">
        <v>426</v>
      </c>
      <c r="K175" s="276">
        <f>K176</f>
        <v>300000</v>
      </c>
      <c r="L175" s="276">
        <f>L176</f>
        <v>464500</v>
      </c>
      <c r="M175" s="276" t="str">
        <f t="shared" si="4"/>
        <v>-</v>
      </c>
      <c r="N175" s="91"/>
      <c r="O175" s="91"/>
      <c r="P175" s="91"/>
      <c r="Q175" s="91"/>
      <c r="R175" s="91"/>
      <c r="S175" s="91"/>
      <c r="T175" s="91"/>
      <c r="U175" s="91"/>
      <c r="V175" s="91"/>
    </row>
    <row r="176" spans="1:22" s="10" customFormat="1" ht="33.75">
      <c r="A176" s="143" t="s">
        <v>587</v>
      </c>
      <c r="B176" s="144" t="s">
        <v>253</v>
      </c>
      <c r="C176" s="145" t="s">
        <v>1300</v>
      </c>
      <c r="D176" s="146" t="s">
        <v>1393</v>
      </c>
      <c r="E176" s="146" t="s">
        <v>425</v>
      </c>
      <c r="F176" s="146" t="s">
        <v>610</v>
      </c>
      <c r="G176" s="146" t="s">
        <v>253</v>
      </c>
      <c r="H176" s="146" t="s">
        <v>1397</v>
      </c>
      <c r="I176" s="146" t="s">
        <v>1395</v>
      </c>
      <c r="J176" s="147" t="s">
        <v>426</v>
      </c>
      <c r="K176" s="299">
        <f>100000+200000</f>
        <v>300000</v>
      </c>
      <c r="L176" s="276">
        <f>L177</f>
        <v>464500</v>
      </c>
      <c r="M176" s="275" t="str">
        <f t="shared" si="4"/>
        <v>-</v>
      </c>
      <c r="N176" s="91"/>
      <c r="O176" s="91"/>
      <c r="P176" s="91"/>
      <c r="Q176" s="91"/>
      <c r="R176" s="91"/>
      <c r="S176" s="91"/>
      <c r="T176" s="91"/>
      <c r="U176" s="91"/>
      <c r="V176" s="91"/>
    </row>
    <row r="177" spans="1:22" s="10" customFormat="1" ht="56.25">
      <c r="A177" s="143" t="s">
        <v>1961</v>
      </c>
      <c r="B177" s="144" t="s">
        <v>253</v>
      </c>
      <c r="C177" s="145" t="s">
        <v>1300</v>
      </c>
      <c r="D177" s="146" t="s">
        <v>1393</v>
      </c>
      <c r="E177" s="146" t="s">
        <v>425</v>
      </c>
      <c r="F177" s="146" t="s">
        <v>610</v>
      </c>
      <c r="G177" s="146" t="s">
        <v>253</v>
      </c>
      <c r="H177" s="146" t="s">
        <v>1397</v>
      </c>
      <c r="I177" s="146" t="s">
        <v>707</v>
      </c>
      <c r="J177" s="147" t="s">
        <v>426</v>
      </c>
      <c r="K177" s="221">
        <v>0</v>
      </c>
      <c r="L177" s="221">
        <v>464500</v>
      </c>
      <c r="M177" s="276" t="str">
        <f t="shared" si="4"/>
        <v>-</v>
      </c>
      <c r="N177" s="91"/>
      <c r="O177" s="91"/>
      <c r="P177" s="91"/>
      <c r="Q177" s="91"/>
      <c r="R177" s="91"/>
      <c r="S177" s="91"/>
      <c r="T177" s="91"/>
      <c r="U177" s="91"/>
      <c r="V177" s="91"/>
    </row>
    <row r="178" spans="1:22" s="12" customFormat="1" ht="15.75">
      <c r="A178" s="139" t="s">
        <v>241</v>
      </c>
      <c r="B178" s="135" t="s">
        <v>253</v>
      </c>
      <c r="C178" s="140" t="s">
        <v>1392</v>
      </c>
      <c r="D178" s="141" t="s">
        <v>1393</v>
      </c>
      <c r="E178" s="141" t="s">
        <v>425</v>
      </c>
      <c r="F178" s="141" t="s">
        <v>1301</v>
      </c>
      <c r="G178" s="141" t="s">
        <v>1392</v>
      </c>
      <c r="H178" s="141" t="s">
        <v>1394</v>
      </c>
      <c r="I178" s="141" t="s">
        <v>1395</v>
      </c>
      <c r="J178" s="142" t="s">
        <v>426</v>
      </c>
      <c r="K178" s="275">
        <f>K179</f>
        <v>70455.11</v>
      </c>
      <c r="L178" s="275">
        <f>L179</f>
        <v>37205.18</v>
      </c>
      <c r="M178" s="276">
        <f aca="true" t="shared" si="7" ref="M178:M276">IF(K178-L178&gt;0,K178-L178,"-")</f>
        <v>33249.93</v>
      </c>
      <c r="N178" s="282"/>
      <c r="O178" s="282"/>
      <c r="P178" s="282"/>
      <c r="Q178" s="282"/>
      <c r="R178" s="282"/>
      <c r="S178" s="282"/>
      <c r="T178" s="282"/>
      <c r="U178" s="282"/>
      <c r="V178" s="282"/>
    </row>
    <row r="179" spans="1:22" s="10" customFormat="1" ht="33.75">
      <c r="A179" s="143" t="s">
        <v>242</v>
      </c>
      <c r="B179" s="144" t="s">
        <v>253</v>
      </c>
      <c r="C179" s="145" t="s">
        <v>1392</v>
      </c>
      <c r="D179" s="146" t="s">
        <v>1393</v>
      </c>
      <c r="E179" s="146" t="s">
        <v>425</v>
      </c>
      <c r="F179" s="146" t="s">
        <v>1301</v>
      </c>
      <c r="G179" s="146" t="s">
        <v>1037</v>
      </c>
      <c r="H179" s="146" t="s">
        <v>673</v>
      </c>
      <c r="I179" s="146" t="s">
        <v>1395</v>
      </c>
      <c r="J179" s="147" t="s">
        <v>426</v>
      </c>
      <c r="K179" s="276">
        <f>K180</f>
        <v>70455.11</v>
      </c>
      <c r="L179" s="276">
        <f>L180</f>
        <v>37205.18</v>
      </c>
      <c r="M179" s="276">
        <f t="shared" si="7"/>
        <v>33249.93</v>
      </c>
      <c r="N179" s="91"/>
      <c r="O179" s="91"/>
      <c r="P179" s="91"/>
      <c r="Q179" s="91"/>
      <c r="R179" s="91"/>
      <c r="S179" s="91"/>
      <c r="T179" s="91"/>
      <c r="U179" s="91"/>
      <c r="V179" s="91"/>
    </row>
    <row r="180" spans="1:22" s="10" customFormat="1" ht="33.75">
      <c r="A180" s="143" t="s">
        <v>1231</v>
      </c>
      <c r="B180" s="144" t="s">
        <v>253</v>
      </c>
      <c r="C180" s="145" t="s">
        <v>1392</v>
      </c>
      <c r="D180" s="146" t="s">
        <v>1393</v>
      </c>
      <c r="E180" s="146" t="s">
        <v>425</v>
      </c>
      <c r="F180" s="146" t="s">
        <v>1301</v>
      </c>
      <c r="G180" s="146" t="s">
        <v>1302</v>
      </c>
      <c r="H180" s="146" t="s">
        <v>673</v>
      </c>
      <c r="I180" s="146" t="s">
        <v>1395</v>
      </c>
      <c r="J180" s="147" t="s">
        <v>426</v>
      </c>
      <c r="K180" s="276">
        <f>K182+K181</f>
        <v>70455.11</v>
      </c>
      <c r="L180" s="276">
        <f>L182+L181</f>
        <v>37205.18</v>
      </c>
      <c r="M180" s="276">
        <f t="shared" si="7"/>
        <v>33249.93</v>
      </c>
      <c r="N180" s="91"/>
      <c r="O180" s="91"/>
      <c r="P180" s="91"/>
      <c r="Q180" s="91"/>
      <c r="R180" s="91"/>
      <c r="S180" s="91"/>
      <c r="T180" s="91"/>
      <c r="U180" s="91"/>
      <c r="V180" s="91"/>
    </row>
    <row r="181" spans="1:22" s="10" customFormat="1" ht="33.75">
      <c r="A181" s="143" t="s">
        <v>1231</v>
      </c>
      <c r="B181" s="144" t="s">
        <v>253</v>
      </c>
      <c r="C181" s="145" t="s">
        <v>1034</v>
      </c>
      <c r="D181" s="146" t="s">
        <v>1393</v>
      </c>
      <c r="E181" s="146" t="s">
        <v>425</v>
      </c>
      <c r="F181" s="146" t="s">
        <v>1301</v>
      </c>
      <c r="G181" s="146" t="s">
        <v>1302</v>
      </c>
      <c r="H181" s="146" t="s">
        <v>673</v>
      </c>
      <c r="I181" s="146" t="s">
        <v>1395</v>
      </c>
      <c r="J181" s="147" t="s">
        <v>426</v>
      </c>
      <c r="K181" s="299">
        <f>133000-99750</f>
        <v>33250</v>
      </c>
      <c r="L181" s="221">
        <v>0</v>
      </c>
      <c r="M181" s="275">
        <f t="shared" si="7"/>
        <v>33250</v>
      </c>
      <c r="N181" s="91"/>
      <c r="O181" s="91"/>
      <c r="P181" s="91"/>
      <c r="Q181" s="91"/>
      <c r="R181" s="91"/>
      <c r="S181" s="91"/>
      <c r="T181" s="91"/>
      <c r="U181" s="91"/>
      <c r="V181" s="91"/>
    </row>
    <row r="182" spans="1:22" s="10" customFormat="1" ht="33.75">
      <c r="A182" s="143" t="s">
        <v>1231</v>
      </c>
      <c r="B182" s="144" t="s">
        <v>253</v>
      </c>
      <c r="C182" s="145" t="s">
        <v>716</v>
      </c>
      <c r="D182" s="146" t="s">
        <v>1393</v>
      </c>
      <c r="E182" s="146" t="s">
        <v>425</v>
      </c>
      <c r="F182" s="146" t="s">
        <v>1301</v>
      </c>
      <c r="G182" s="146" t="s">
        <v>1302</v>
      </c>
      <c r="H182" s="146" t="s">
        <v>673</v>
      </c>
      <c r="I182" s="146" t="s">
        <v>1395</v>
      </c>
      <c r="J182" s="147" t="s">
        <v>426</v>
      </c>
      <c r="K182" s="299">
        <f>37205.18-0.07</f>
        <v>37205.11</v>
      </c>
      <c r="L182" s="221">
        <v>37205.18</v>
      </c>
      <c r="M182" s="276" t="str">
        <f>IF(K182-L182&gt;0,K182-L182,"-")</f>
        <v>-</v>
      </c>
      <c r="N182" s="91"/>
      <c r="O182" s="91"/>
      <c r="P182" s="91"/>
      <c r="Q182" s="91"/>
      <c r="R182" s="91"/>
      <c r="S182" s="91"/>
      <c r="T182" s="91"/>
      <c r="U182" s="91"/>
      <c r="V182" s="91"/>
    </row>
    <row r="183" spans="1:22" s="10" customFormat="1" ht="33.75">
      <c r="A183" s="139" t="s">
        <v>744</v>
      </c>
      <c r="B183" s="135" t="s">
        <v>253</v>
      </c>
      <c r="C183" s="140" t="s">
        <v>1392</v>
      </c>
      <c r="D183" s="141" t="s">
        <v>1393</v>
      </c>
      <c r="E183" s="141" t="s">
        <v>425</v>
      </c>
      <c r="F183" s="141" t="s">
        <v>1305</v>
      </c>
      <c r="G183" s="141" t="s">
        <v>1392</v>
      </c>
      <c r="H183" s="141" t="s">
        <v>1397</v>
      </c>
      <c r="I183" s="141" t="s">
        <v>1395</v>
      </c>
      <c r="J183" s="142" t="s">
        <v>426</v>
      </c>
      <c r="K183" s="275">
        <f>K184</f>
        <v>40000</v>
      </c>
      <c r="L183" s="275">
        <f>L184</f>
        <v>31150</v>
      </c>
      <c r="M183" s="276">
        <f>IF(K183-L183&gt;0,K183-L183,"-")</f>
        <v>8850</v>
      </c>
      <c r="N183" s="91"/>
      <c r="O183" s="91"/>
      <c r="P183" s="91"/>
      <c r="Q183" s="91"/>
      <c r="R183" s="91"/>
      <c r="S183" s="91"/>
      <c r="T183" s="91"/>
      <c r="U183" s="91"/>
      <c r="V183" s="91"/>
    </row>
    <row r="184" spans="1:22" s="10" customFormat="1" ht="33.75">
      <c r="A184" s="143" t="s">
        <v>744</v>
      </c>
      <c r="B184" s="144" t="s">
        <v>253</v>
      </c>
      <c r="C184" s="145" t="s">
        <v>1300</v>
      </c>
      <c r="D184" s="146" t="s">
        <v>1393</v>
      </c>
      <c r="E184" s="146" t="s">
        <v>425</v>
      </c>
      <c r="F184" s="146" t="s">
        <v>1305</v>
      </c>
      <c r="G184" s="146" t="s">
        <v>1392</v>
      </c>
      <c r="H184" s="146" t="s">
        <v>1397</v>
      </c>
      <c r="I184" s="146" t="s">
        <v>1395</v>
      </c>
      <c r="J184" s="147" t="s">
        <v>426</v>
      </c>
      <c r="K184" s="299">
        <f>20500+19500</f>
        <v>40000</v>
      </c>
      <c r="L184" s="276">
        <f>L185</f>
        <v>31150</v>
      </c>
      <c r="M184" s="276">
        <f t="shared" si="7"/>
        <v>8850</v>
      </c>
      <c r="N184" s="91"/>
      <c r="O184" s="91"/>
      <c r="P184" s="91"/>
      <c r="Q184" s="91"/>
      <c r="R184" s="91"/>
      <c r="S184" s="91"/>
      <c r="T184" s="91"/>
      <c r="U184" s="91"/>
      <c r="V184" s="91"/>
    </row>
    <row r="185" spans="1:22" s="10" customFormat="1" ht="56.25">
      <c r="A185" s="143" t="s">
        <v>1023</v>
      </c>
      <c r="B185" s="144" t="s">
        <v>253</v>
      </c>
      <c r="C185" s="183" t="s">
        <v>1300</v>
      </c>
      <c r="D185" s="159" t="s">
        <v>1393</v>
      </c>
      <c r="E185" s="159" t="s">
        <v>425</v>
      </c>
      <c r="F185" s="159" t="s">
        <v>1305</v>
      </c>
      <c r="G185" s="159" t="s">
        <v>1392</v>
      </c>
      <c r="H185" s="184" t="s">
        <v>1397</v>
      </c>
      <c r="I185" s="159" t="s">
        <v>707</v>
      </c>
      <c r="J185" s="160" t="s">
        <v>426</v>
      </c>
      <c r="K185" s="221">
        <v>0</v>
      </c>
      <c r="L185" s="221">
        <v>31150</v>
      </c>
      <c r="M185" s="276" t="str">
        <f t="shared" si="7"/>
        <v>-</v>
      </c>
      <c r="N185" s="91"/>
      <c r="O185" s="91"/>
      <c r="P185" s="91"/>
      <c r="Q185" s="91"/>
      <c r="R185" s="91"/>
      <c r="S185" s="91"/>
      <c r="T185" s="91"/>
      <c r="U185" s="91"/>
      <c r="V185" s="91"/>
    </row>
    <row r="186" spans="1:22" s="10" customFormat="1" ht="22.5">
      <c r="A186" s="181" t="s">
        <v>245</v>
      </c>
      <c r="B186" s="135" t="s">
        <v>253</v>
      </c>
      <c r="C186" s="140" t="s">
        <v>1392</v>
      </c>
      <c r="D186" s="141" t="s">
        <v>1393</v>
      </c>
      <c r="E186" s="141" t="s">
        <v>425</v>
      </c>
      <c r="F186" s="141" t="s">
        <v>246</v>
      </c>
      <c r="G186" s="141" t="s">
        <v>1392</v>
      </c>
      <c r="H186" s="141" t="s">
        <v>1397</v>
      </c>
      <c r="I186" s="141" t="s">
        <v>1395</v>
      </c>
      <c r="J186" s="142" t="s">
        <v>426</v>
      </c>
      <c r="K186" s="276">
        <f>K190+K187</f>
        <v>350000</v>
      </c>
      <c r="L186" s="276">
        <f>L190+L187</f>
        <v>277000</v>
      </c>
      <c r="M186" s="276">
        <f>IF(K186-L186&gt;0,K186-L186,"-")</f>
        <v>73000</v>
      </c>
      <c r="N186" s="91"/>
      <c r="O186" s="91"/>
      <c r="P186" s="91"/>
      <c r="Q186" s="91"/>
      <c r="R186" s="91"/>
      <c r="S186" s="91"/>
      <c r="T186" s="91"/>
      <c r="U186" s="91"/>
      <c r="V186" s="91"/>
    </row>
    <row r="187" spans="1:22" s="10" customFormat="1" ht="22.5">
      <c r="A187" s="182" t="s">
        <v>2359</v>
      </c>
      <c r="B187" s="144" t="s">
        <v>253</v>
      </c>
      <c r="C187" s="145" t="s">
        <v>1392</v>
      </c>
      <c r="D187" s="146" t="s">
        <v>1393</v>
      </c>
      <c r="E187" s="146" t="s">
        <v>425</v>
      </c>
      <c r="F187" s="146" t="s">
        <v>246</v>
      </c>
      <c r="G187" s="146" t="s">
        <v>253</v>
      </c>
      <c r="H187" s="146" t="s">
        <v>1397</v>
      </c>
      <c r="I187" s="146" t="s">
        <v>1395</v>
      </c>
      <c r="J187" s="147" t="s">
        <v>426</v>
      </c>
      <c r="K187" s="299">
        <f>K188</f>
        <v>300000</v>
      </c>
      <c r="L187" s="276">
        <f>L188</f>
        <v>200000</v>
      </c>
      <c r="M187" s="276">
        <f t="shared" si="7"/>
        <v>100000</v>
      </c>
      <c r="N187" s="91"/>
      <c r="O187" s="91"/>
      <c r="P187" s="91"/>
      <c r="Q187" s="91"/>
      <c r="R187" s="91"/>
      <c r="S187" s="91"/>
      <c r="T187" s="91"/>
      <c r="U187" s="91"/>
      <c r="V187" s="91"/>
    </row>
    <row r="188" spans="1:22" s="259" customFormat="1" ht="33.75">
      <c r="A188" s="182" t="s">
        <v>2360</v>
      </c>
      <c r="B188" s="144" t="s">
        <v>253</v>
      </c>
      <c r="C188" s="145" t="s">
        <v>1300</v>
      </c>
      <c r="D188" s="146" t="s">
        <v>1393</v>
      </c>
      <c r="E188" s="146" t="s">
        <v>425</v>
      </c>
      <c r="F188" s="146" t="s">
        <v>246</v>
      </c>
      <c r="G188" s="146" t="s">
        <v>1028</v>
      </c>
      <c r="H188" s="146" t="s">
        <v>1397</v>
      </c>
      <c r="I188" s="146" t="s">
        <v>1395</v>
      </c>
      <c r="J188" s="147" t="s">
        <v>426</v>
      </c>
      <c r="K188" s="299">
        <v>300000</v>
      </c>
      <c r="L188" s="276">
        <f>L189</f>
        <v>200000</v>
      </c>
      <c r="M188" s="276">
        <f>IF(K188-L188&gt;0,K188-L188,"-")</f>
        <v>100000</v>
      </c>
      <c r="N188" s="285"/>
      <c r="O188" s="285"/>
      <c r="P188" s="285"/>
      <c r="Q188" s="285"/>
      <c r="R188" s="285"/>
      <c r="S188" s="285"/>
      <c r="T188" s="285"/>
      <c r="U188" s="285"/>
      <c r="V188" s="285"/>
    </row>
    <row r="189" spans="1:22" s="10" customFormat="1" ht="56.25">
      <c r="A189" s="182" t="s">
        <v>2167</v>
      </c>
      <c r="B189" s="144" t="s">
        <v>253</v>
      </c>
      <c r="C189" s="145" t="s">
        <v>1300</v>
      </c>
      <c r="D189" s="146" t="s">
        <v>1393</v>
      </c>
      <c r="E189" s="146" t="s">
        <v>425</v>
      </c>
      <c r="F189" s="146" t="s">
        <v>246</v>
      </c>
      <c r="G189" s="146" t="s">
        <v>1028</v>
      </c>
      <c r="H189" s="146" t="s">
        <v>1397</v>
      </c>
      <c r="I189" s="146" t="s">
        <v>707</v>
      </c>
      <c r="J189" s="147" t="s">
        <v>426</v>
      </c>
      <c r="K189" s="221">
        <v>0</v>
      </c>
      <c r="L189" s="221">
        <v>200000</v>
      </c>
      <c r="M189" s="275" t="str">
        <f t="shared" si="7"/>
        <v>-</v>
      </c>
      <c r="N189" s="91"/>
      <c r="O189" s="91"/>
      <c r="P189" s="91"/>
      <c r="Q189" s="91"/>
      <c r="R189" s="91"/>
      <c r="S189" s="91"/>
      <c r="T189" s="91"/>
      <c r="U189" s="91"/>
      <c r="V189" s="91"/>
    </row>
    <row r="190" spans="1:22" s="10" customFormat="1" ht="22.5">
      <c r="A190" s="182" t="s">
        <v>247</v>
      </c>
      <c r="B190" s="144" t="s">
        <v>253</v>
      </c>
      <c r="C190" s="145" t="s">
        <v>1392</v>
      </c>
      <c r="D190" s="146" t="s">
        <v>1393</v>
      </c>
      <c r="E190" s="146" t="s">
        <v>425</v>
      </c>
      <c r="F190" s="146" t="s">
        <v>246</v>
      </c>
      <c r="G190" s="146" t="s">
        <v>639</v>
      </c>
      <c r="H190" s="146" t="s">
        <v>1397</v>
      </c>
      <c r="I190" s="146" t="s">
        <v>1395</v>
      </c>
      <c r="J190" s="147" t="s">
        <v>426</v>
      </c>
      <c r="K190" s="299">
        <f>K191</f>
        <v>50000</v>
      </c>
      <c r="L190" s="276">
        <f>L191</f>
        <v>77000</v>
      </c>
      <c r="M190" s="276" t="str">
        <f t="shared" si="7"/>
        <v>-</v>
      </c>
      <c r="N190" s="91"/>
      <c r="O190" s="91"/>
      <c r="P190" s="91"/>
      <c r="Q190" s="91"/>
      <c r="R190" s="91"/>
      <c r="S190" s="91"/>
      <c r="T190" s="91"/>
      <c r="U190" s="91"/>
      <c r="V190" s="91"/>
    </row>
    <row r="191" spans="1:22" s="10" customFormat="1" ht="22.5">
      <c r="A191" s="182" t="s">
        <v>247</v>
      </c>
      <c r="B191" s="144" t="s">
        <v>253</v>
      </c>
      <c r="C191" s="145" t="s">
        <v>1300</v>
      </c>
      <c r="D191" s="146" t="s">
        <v>1393</v>
      </c>
      <c r="E191" s="146" t="s">
        <v>425</v>
      </c>
      <c r="F191" s="146" t="s">
        <v>246</v>
      </c>
      <c r="G191" s="146" t="s">
        <v>639</v>
      </c>
      <c r="H191" s="146" t="s">
        <v>1397</v>
      </c>
      <c r="I191" s="146" t="s">
        <v>1395</v>
      </c>
      <c r="J191" s="147" t="s">
        <v>426</v>
      </c>
      <c r="K191" s="299">
        <v>50000</v>
      </c>
      <c r="L191" s="276">
        <f>L192</f>
        <v>77000</v>
      </c>
      <c r="M191" s="276" t="str">
        <f t="shared" si="7"/>
        <v>-</v>
      </c>
      <c r="N191" s="91"/>
      <c r="O191" s="91"/>
      <c r="P191" s="91"/>
      <c r="Q191" s="91"/>
      <c r="R191" s="91"/>
      <c r="S191" s="91"/>
      <c r="T191" s="91"/>
      <c r="U191" s="91"/>
      <c r="V191" s="91"/>
    </row>
    <row r="192" spans="1:22" s="10" customFormat="1" ht="33.75">
      <c r="A192" s="258" t="s">
        <v>2168</v>
      </c>
      <c r="B192" s="217" t="s">
        <v>253</v>
      </c>
      <c r="C192" s="218" t="s">
        <v>1300</v>
      </c>
      <c r="D192" s="219" t="s">
        <v>1393</v>
      </c>
      <c r="E192" s="219" t="s">
        <v>425</v>
      </c>
      <c r="F192" s="219" t="s">
        <v>246</v>
      </c>
      <c r="G192" s="219" t="s">
        <v>639</v>
      </c>
      <c r="H192" s="219" t="s">
        <v>1397</v>
      </c>
      <c r="I192" s="219" t="s">
        <v>707</v>
      </c>
      <c r="J192" s="220" t="s">
        <v>426</v>
      </c>
      <c r="K192" s="221">
        <v>0</v>
      </c>
      <c r="L192" s="221">
        <v>77000</v>
      </c>
      <c r="M192" s="276" t="str">
        <f t="shared" si="7"/>
        <v>-</v>
      </c>
      <c r="N192" s="91"/>
      <c r="O192" s="91"/>
      <c r="P192" s="91"/>
      <c r="Q192" s="91"/>
      <c r="R192" s="91"/>
      <c r="S192" s="91"/>
      <c r="T192" s="91"/>
      <c r="U192" s="91"/>
      <c r="V192" s="91"/>
    </row>
    <row r="193" spans="1:22" s="12" customFormat="1" ht="33.75">
      <c r="A193" s="139" t="s">
        <v>835</v>
      </c>
      <c r="B193" s="135" t="s">
        <v>253</v>
      </c>
      <c r="C193" s="140" t="s">
        <v>1392</v>
      </c>
      <c r="D193" s="141" t="s">
        <v>1393</v>
      </c>
      <c r="E193" s="141" t="s">
        <v>425</v>
      </c>
      <c r="F193" s="141" t="s">
        <v>1049</v>
      </c>
      <c r="G193" s="141" t="s">
        <v>1392</v>
      </c>
      <c r="H193" s="141" t="s">
        <v>1394</v>
      </c>
      <c r="I193" s="141" t="s">
        <v>1395</v>
      </c>
      <c r="J193" s="142" t="s">
        <v>426</v>
      </c>
      <c r="K193" s="275">
        <f>K194</f>
        <v>35000</v>
      </c>
      <c r="L193" s="275">
        <f>L194</f>
        <v>21000</v>
      </c>
      <c r="M193" s="276">
        <f t="shared" si="7"/>
        <v>14000</v>
      </c>
      <c r="N193" s="282"/>
      <c r="O193" s="282"/>
      <c r="P193" s="282"/>
      <c r="Q193" s="282"/>
      <c r="R193" s="282"/>
      <c r="S193" s="282"/>
      <c r="T193" s="282"/>
      <c r="U193" s="282"/>
      <c r="V193" s="282"/>
    </row>
    <row r="194" spans="1:22" s="10" customFormat="1" ht="45">
      <c r="A194" s="143" t="s">
        <v>836</v>
      </c>
      <c r="B194" s="144" t="s">
        <v>253</v>
      </c>
      <c r="C194" s="145" t="s">
        <v>1392</v>
      </c>
      <c r="D194" s="146" t="s">
        <v>1393</v>
      </c>
      <c r="E194" s="146" t="s">
        <v>425</v>
      </c>
      <c r="F194" s="146" t="s">
        <v>1049</v>
      </c>
      <c r="G194" s="146" t="s">
        <v>1037</v>
      </c>
      <c r="H194" s="146" t="s">
        <v>673</v>
      </c>
      <c r="I194" s="146" t="s">
        <v>1395</v>
      </c>
      <c r="J194" s="147" t="s">
        <v>426</v>
      </c>
      <c r="K194" s="276">
        <f>K195</f>
        <v>35000</v>
      </c>
      <c r="L194" s="276">
        <f>L195</f>
        <v>21000</v>
      </c>
      <c r="M194" s="275">
        <f t="shared" si="7"/>
        <v>14000</v>
      </c>
      <c r="N194" s="91"/>
      <c r="O194" s="91"/>
      <c r="P194" s="91"/>
      <c r="Q194" s="91"/>
      <c r="R194" s="91"/>
      <c r="S194" s="91"/>
      <c r="T194" s="91"/>
      <c r="U194" s="91"/>
      <c r="V194" s="91"/>
    </row>
    <row r="195" spans="1:22" s="10" customFormat="1" ht="45">
      <c r="A195" s="143" t="s">
        <v>836</v>
      </c>
      <c r="B195" s="144" t="s">
        <v>253</v>
      </c>
      <c r="C195" s="145" t="s">
        <v>1411</v>
      </c>
      <c r="D195" s="146" t="s">
        <v>1393</v>
      </c>
      <c r="E195" s="146" t="s">
        <v>425</v>
      </c>
      <c r="F195" s="146" t="s">
        <v>1049</v>
      </c>
      <c r="G195" s="146" t="s">
        <v>1037</v>
      </c>
      <c r="H195" s="146" t="s">
        <v>673</v>
      </c>
      <c r="I195" s="146" t="s">
        <v>1395</v>
      </c>
      <c r="J195" s="147" t="s">
        <v>426</v>
      </c>
      <c r="K195" s="299">
        <f>40000-5000</f>
        <v>35000</v>
      </c>
      <c r="L195" s="276">
        <f>L196</f>
        <v>21000</v>
      </c>
      <c r="M195" s="276">
        <f t="shared" si="7"/>
        <v>14000</v>
      </c>
      <c r="N195" s="91"/>
      <c r="O195" s="91"/>
      <c r="P195" s="91"/>
      <c r="Q195" s="91"/>
      <c r="R195" s="91"/>
      <c r="S195" s="91"/>
      <c r="T195" s="91"/>
      <c r="U195" s="91"/>
      <c r="V195" s="91"/>
    </row>
    <row r="196" spans="1:22" s="10" customFormat="1" ht="56.25">
      <c r="A196" s="143" t="s">
        <v>1412</v>
      </c>
      <c r="B196" s="144" t="s">
        <v>253</v>
      </c>
      <c r="C196" s="145" t="s">
        <v>1411</v>
      </c>
      <c r="D196" s="146" t="s">
        <v>1393</v>
      </c>
      <c r="E196" s="146" t="s">
        <v>425</v>
      </c>
      <c r="F196" s="146" t="s">
        <v>1049</v>
      </c>
      <c r="G196" s="146" t="s">
        <v>1037</v>
      </c>
      <c r="H196" s="146" t="s">
        <v>673</v>
      </c>
      <c r="I196" s="146" t="s">
        <v>707</v>
      </c>
      <c r="J196" s="147" t="s">
        <v>426</v>
      </c>
      <c r="K196" s="221">
        <v>0</v>
      </c>
      <c r="L196" s="221">
        <v>21000</v>
      </c>
      <c r="M196" s="276" t="str">
        <f>IF(K196-L196&gt;0,K196-L196,"-")</f>
        <v>-</v>
      </c>
      <c r="N196" s="91"/>
      <c r="O196" s="91"/>
      <c r="P196" s="91"/>
      <c r="Q196" s="91"/>
      <c r="R196" s="91"/>
      <c r="S196" s="91"/>
      <c r="T196" s="91"/>
      <c r="U196" s="91"/>
      <c r="V196" s="91"/>
    </row>
    <row r="197" spans="1:22" s="10" customFormat="1" ht="15">
      <c r="A197" s="139" t="s">
        <v>745</v>
      </c>
      <c r="B197" s="135" t="s">
        <v>253</v>
      </c>
      <c r="C197" s="140" t="s">
        <v>1392</v>
      </c>
      <c r="D197" s="141" t="s">
        <v>1393</v>
      </c>
      <c r="E197" s="141" t="s">
        <v>425</v>
      </c>
      <c r="F197" s="141" t="s">
        <v>1306</v>
      </c>
      <c r="G197" s="141" t="s">
        <v>1392</v>
      </c>
      <c r="H197" s="141" t="s">
        <v>1394</v>
      </c>
      <c r="I197" s="141" t="s">
        <v>1395</v>
      </c>
      <c r="J197" s="142" t="s">
        <v>426</v>
      </c>
      <c r="K197" s="275">
        <f>K198</f>
        <v>1244100</v>
      </c>
      <c r="L197" s="275">
        <f>L198</f>
        <v>2133827.3</v>
      </c>
      <c r="M197" s="276" t="str">
        <f t="shared" si="7"/>
        <v>-</v>
      </c>
      <c r="N197" s="91"/>
      <c r="O197" s="91"/>
      <c r="P197" s="91"/>
      <c r="Q197" s="91"/>
      <c r="R197" s="91"/>
      <c r="S197" s="91"/>
      <c r="T197" s="91"/>
      <c r="U197" s="91"/>
      <c r="V197" s="91"/>
    </row>
    <row r="198" spans="1:22" s="10" customFormat="1" ht="22.5">
      <c r="A198" s="143" t="s">
        <v>746</v>
      </c>
      <c r="B198" s="144" t="s">
        <v>253</v>
      </c>
      <c r="C198" s="145" t="s">
        <v>1392</v>
      </c>
      <c r="D198" s="146" t="s">
        <v>1393</v>
      </c>
      <c r="E198" s="146" t="s">
        <v>425</v>
      </c>
      <c r="F198" s="146" t="s">
        <v>1306</v>
      </c>
      <c r="G198" s="146" t="s">
        <v>639</v>
      </c>
      <c r="H198" s="146" t="s">
        <v>673</v>
      </c>
      <c r="I198" s="146" t="s">
        <v>1395</v>
      </c>
      <c r="J198" s="147" t="s">
        <v>426</v>
      </c>
      <c r="K198" s="276">
        <f>K202+K204+K199+K200</f>
        <v>1244100</v>
      </c>
      <c r="L198" s="276">
        <f>L202+L204+L199+L200</f>
        <v>2133827.3</v>
      </c>
      <c r="M198" s="276" t="str">
        <f t="shared" si="7"/>
        <v>-</v>
      </c>
      <c r="N198" s="91"/>
      <c r="O198" s="91"/>
      <c r="P198" s="91"/>
      <c r="Q198" s="91"/>
      <c r="R198" s="91"/>
      <c r="S198" s="91"/>
      <c r="T198" s="91"/>
      <c r="U198" s="91"/>
      <c r="V198" s="91"/>
    </row>
    <row r="199" spans="1:22" s="10" customFormat="1" ht="22.5">
      <c r="A199" s="143" t="s">
        <v>746</v>
      </c>
      <c r="B199" s="144" t="s">
        <v>253</v>
      </c>
      <c r="C199" s="145" t="s">
        <v>2238</v>
      </c>
      <c r="D199" s="146" t="s">
        <v>1393</v>
      </c>
      <c r="E199" s="146" t="s">
        <v>425</v>
      </c>
      <c r="F199" s="146" t="s">
        <v>1306</v>
      </c>
      <c r="G199" s="146" t="s">
        <v>639</v>
      </c>
      <c r="H199" s="146" t="s">
        <v>673</v>
      </c>
      <c r="I199" s="146" t="s">
        <v>1395</v>
      </c>
      <c r="J199" s="147" t="s">
        <v>426</v>
      </c>
      <c r="K199" s="221">
        <v>0</v>
      </c>
      <c r="L199" s="221">
        <v>90000</v>
      </c>
      <c r="M199" s="276" t="str">
        <f t="shared" si="7"/>
        <v>-</v>
      </c>
      <c r="N199" s="91"/>
      <c r="O199" s="91"/>
      <c r="P199" s="91"/>
      <c r="Q199" s="91"/>
      <c r="R199" s="91"/>
      <c r="S199" s="91"/>
      <c r="T199" s="91"/>
      <c r="U199" s="91"/>
      <c r="V199" s="91"/>
    </row>
    <row r="200" spans="1:22" s="10" customFormat="1" ht="22.5">
      <c r="A200" s="143" t="s">
        <v>746</v>
      </c>
      <c r="B200" s="144" t="s">
        <v>253</v>
      </c>
      <c r="C200" s="145" t="s">
        <v>706</v>
      </c>
      <c r="D200" s="146" t="s">
        <v>1393</v>
      </c>
      <c r="E200" s="146" t="s">
        <v>425</v>
      </c>
      <c r="F200" s="146" t="s">
        <v>1306</v>
      </c>
      <c r="G200" s="146" t="s">
        <v>639</v>
      </c>
      <c r="H200" s="146" t="s">
        <v>673</v>
      </c>
      <c r="I200" s="146" t="s">
        <v>1395</v>
      </c>
      <c r="J200" s="147" t="s">
        <v>426</v>
      </c>
      <c r="K200" s="276">
        <v>0</v>
      </c>
      <c r="L200" s="276">
        <f>L201</f>
        <v>312000</v>
      </c>
      <c r="M200" s="275" t="str">
        <f t="shared" si="7"/>
        <v>-</v>
      </c>
      <c r="N200" s="91"/>
      <c r="O200" s="91"/>
      <c r="P200" s="91"/>
      <c r="Q200" s="91"/>
      <c r="R200" s="91"/>
      <c r="S200" s="91"/>
      <c r="T200" s="91"/>
      <c r="U200" s="91"/>
      <c r="V200" s="91"/>
    </row>
    <row r="201" spans="1:22" s="10" customFormat="1" ht="45">
      <c r="A201" s="148" t="s">
        <v>3</v>
      </c>
      <c r="B201" s="144" t="s">
        <v>253</v>
      </c>
      <c r="C201" s="145" t="s">
        <v>706</v>
      </c>
      <c r="D201" s="146" t="s">
        <v>1393</v>
      </c>
      <c r="E201" s="146" t="s">
        <v>425</v>
      </c>
      <c r="F201" s="146" t="s">
        <v>1306</v>
      </c>
      <c r="G201" s="146" t="s">
        <v>639</v>
      </c>
      <c r="H201" s="146" t="s">
        <v>673</v>
      </c>
      <c r="I201" s="146" t="s">
        <v>707</v>
      </c>
      <c r="J201" s="147" t="s">
        <v>426</v>
      </c>
      <c r="K201" s="221">
        <v>0</v>
      </c>
      <c r="L201" s="221">
        <v>312000</v>
      </c>
      <c r="M201" s="276" t="str">
        <f t="shared" si="7"/>
        <v>-</v>
      </c>
      <c r="N201" s="91"/>
      <c r="O201" s="91"/>
      <c r="P201" s="91"/>
      <c r="Q201" s="91"/>
      <c r="R201" s="91"/>
      <c r="S201" s="91"/>
      <c r="T201" s="91"/>
      <c r="U201" s="91"/>
      <c r="V201" s="91"/>
    </row>
    <row r="202" spans="1:22" s="10" customFormat="1" ht="22.5">
      <c r="A202" s="143" t="s">
        <v>746</v>
      </c>
      <c r="B202" s="144" t="s">
        <v>253</v>
      </c>
      <c r="C202" s="145" t="s">
        <v>1304</v>
      </c>
      <c r="D202" s="146" t="s">
        <v>1393</v>
      </c>
      <c r="E202" s="146" t="s">
        <v>425</v>
      </c>
      <c r="F202" s="146" t="s">
        <v>1306</v>
      </c>
      <c r="G202" s="146" t="s">
        <v>639</v>
      </c>
      <c r="H202" s="146" t="s">
        <v>673</v>
      </c>
      <c r="I202" s="146" t="s">
        <v>1395</v>
      </c>
      <c r="J202" s="147" t="s">
        <v>426</v>
      </c>
      <c r="K202" s="299">
        <f>544000+116000</f>
        <v>660000</v>
      </c>
      <c r="L202" s="276">
        <f>L203</f>
        <v>1159452.39</v>
      </c>
      <c r="M202" s="276" t="str">
        <f t="shared" si="7"/>
        <v>-</v>
      </c>
      <c r="N202" s="91"/>
      <c r="O202" s="91"/>
      <c r="P202" s="91"/>
      <c r="Q202" s="91"/>
      <c r="R202" s="91"/>
      <c r="S202" s="91"/>
      <c r="T202" s="91"/>
      <c r="U202" s="91"/>
      <c r="V202" s="91"/>
    </row>
    <row r="203" spans="1:22" s="10" customFormat="1" ht="45">
      <c r="A203" s="148" t="s">
        <v>3</v>
      </c>
      <c r="B203" s="144" t="s">
        <v>253</v>
      </c>
      <c r="C203" s="145" t="s">
        <v>1304</v>
      </c>
      <c r="D203" s="146" t="s">
        <v>1393</v>
      </c>
      <c r="E203" s="146" t="s">
        <v>425</v>
      </c>
      <c r="F203" s="146" t="s">
        <v>1306</v>
      </c>
      <c r="G203" s="146" t="s">
        <v>639</v>
      </c>
      <c r="H203" s="146" t="s">
        <v>673</v>
      </c>
      <c r="I203" s="146" t="s">
        <v>707</v>
      </c>
      <c r="J203" s="147" t="s">
        <v>426</v>
      </c>
      <c r="K203" s="221">
        <v>0</v>
      </c>
      <c r="L203" s="221">
        <v>1159452.39</v>
      </c>
      <c r="M203" s="275" t="str">
        <f t="shared" si="7"/>
        <v>-</v>
      </c>
      <c r="N203" s="91"/>
      <c r="O203" s="91"/>
      <c r="P203" s="91"/>
      <c r="Q203" s="91"/>
      <c r="R203" s="91"/>
      <c r="S203" s="91"/>
      <c r="T203" s="91"/>
      <c r="U203" s="91"/>
      <c r="V203" s="91"/>
    </row>
    <row r="204" spans="1:22" s="10" customFormat="1" ht="22.5">
      <c r="A204" s="143" t="s">
        <v>746</v>
      </c>
      <c r="B204" s="144" t="s">
        <v>253</v>
      </c>
      <c r="C204" s="145" t="s">
        <v>1034</v>
      </c>
      <c r="D204" s="146" t="s">
        <v>1393</v>
      </c>
      <c r="E204" s="146" t="s">
        <v>425</v>
      </c>
      <c r="F204" s="146" t="s">
        <v>1306</v>
      </c>
      <c r="G204" s="146" t="s">
        <v>639</v>
      </c>
      <c r="H204" s="146" t="s">
        <v>673</v>
      </c>
      <c r="I204" s="146" t="s">
        <v>1395</v>
      </c>
      <c r="J204" s="147" t="s">
        <v>426</v>
      </c>
      <c r="K204" s="299">
        <f>800000-215900</f>
        <v>584100</v>
      </c>
      <c r="L204" s="221">
        <v>572374.91</v>
      </c>
      <c r="M204" s="276">
        <f t="shared" si="7"/>
        <v>11725.089999999967</v>
      </c>
      <c r="N204" s="91"/>
      <c r="O204" s="91"/>
      <c r="P204" s="91"/>
      <c r="Q204" s="91"/>
      <c r="R204" s="91"/>
      <c r="S204" s="91"/>
      <c r="T204" s="91"/>
      <c r="U204" s="91"/>
      <c r="V204" s="91"/>
    </row>
    <row r="205" spans="1:22" s="10" customFormat="1" ht="33.75">
      <c r="A205" s="139" t="s">
        <v>1360</v>
      </c>
      <c r="B205" s="135" t="s">
        <v>253</v>
      </c>
      <c r="C205" s="140" t="s">
        <v>1392</v>
      </c>
      <c r="D205" s="141" t="s">
        <v>1393</v>
      </c>
      <c r="E205" s="141" t="s">
        <v>425</v>
      </c>
      <c r="F205" s="141" t="s">
        <v>1359</v>
      </c>
      <c r="G205" s="141" t="s">
        <v>1392</v>
      </c>
      <c r="H205" s="141" t="s">
        <v>1394</v>
      </c>
      <c r="I205" s="141" t="s">
        <v>1395</v>
      </c>
      <c r="J205" s="142" t="s">
        <v>426</v>
      </c>
      <c r="K205" s="275">
        <f>K206</f>
        <v>350000</v>
      </c>
      <c r="L205" s="275">
        <f>L206</f>
        <v>277412.16</v>
      </c>
      <c r="M205" s="276">
        <f t="shared" si="7"/>
        <v>72587.84000000003</v>
      </c>
      <c r="N205" s="91"/>
      <c r="O205" s="91"/>
      <c r="P205" s="91"/>
      <c r="Q205" s="91"/>
      <c r="R205" s="91"/>
      <c r="S205" s="91"/>
      <c r="T205" s="91"/>
      <c r="U205" s="91"/>
      <c r="V205" s="91"/>
    </row>
    <row r="206" spans="1:22" s="10" customFormat="1" ht="45">
      <c r="A206" s="143" t="s">
        <v>424</v>
      </c>
      <c r="B206" s="144" t="s">
        <v>253</v>
      </c>
      <c r="C206" s="145" t="s">
        <v>1392</v>
      </c>
      <c r="D206" s="146" t="s">
        <v>1393</v>
      </c>
      <c r="E206" s="146" t="s">
        <v>425</v>
      </c>
      <c r="F206" s="146" t="s">
        <v>1359</v>
      </c>
      <c r="G206" s="146" t="s">
        <v>672</v>
      </c>
      <c r="H206" s="146" t="s">
        <v>673</v>
      </c>
      <c r="I206" s="146" t="s">
        <v>1395</v>
      </c>
      <c r="J206" s="147" t="s">
        <v>426</v>
      </c>
      <c r="K206" s="276">
        <f>K207</f>
        <v>350000</v>
      </c>
      <c r="L206" s="276">
        <f>L207</f>
        <v>277412.16</v>
      </c>
      <c r="M206" s="275">
        <f t="shared" si="7"/>
        <v>72587.84000000003</v>
      </c>
      <c r="N206" s="91"/>
      <c r="O206" s="91"/>
      <c r="P206" s="91"/>
      <c r="Q206" s="91"/>
      <c r="R206" s="91"/>
      <c r="S206" s="91"/>
      <c r="T206" s="91"/>
      <c r="U206" s="91"/>
      <c r="V206" s="91"/>
    </row>
    <row r="207" spans="1:22" s="10" customFormat="1" ht="45">
      <c r="A207" s="143" t="s">
        <v>424</v>
      </c>
      <c r="B207" s="144" t="s">
        <v>253</v>
      </c>
      <c r="C207" s="145" t="s">
        <v>1034</v>
      </c>
      <c r="D207" s="146" t="s">
        <v>1393</v>
      </c>
      <c r="E207" s="146" t="s">
        <v>425</v>
      </c>
      <c r="F207" s="146" t="s">
        <v>1359</v>
      </c>
      <c r="G207" s="146" t="s">
        <v>672</v>
      </c>
      <c r="H207" s="146" t="s">
        <v>673</v>
      </c>
      <c r="I207" s="146" t="s">
        <v>1395</v>
      </c>
      <c r="J207" s="147" t="s">
        <v>426</v>
      </c>
      <c r="K207" s="221">
        <v>350000</v>
      </c>
      <c r="L207" s="221">
        <v>277412.16</v>
      </c>
      <c r="M207" s="276">
        <f t="shared" si="7"/>
        <v>72587.84000000003</v>
      </c>
      <c r="N207" s="91"/>
      <c r="O207" s="91"/>
      <c r="P207" s="91"/>
      <c r="Q207" s="91"/>
      <c r="R207" s="91"/>
      <c r="S207" s="91"/>
      <c r="T207" s="91"/>
      <c r="U207" s="91"/>
      <c r="V207" s="91"/>
    </row>
    <row r="208" spans="1:22" s="10" customFormat="1" ht="33.75">
      <c r="A208" s="139" t="s">
        <v>1625</v>
      </c>
      <c r="B208" s="135" t="s">
        <v>253</v>
      </c>
      <c r="C208" s="140" t="s">
        <v>1392</v>
      </c>
      <c r="D208" s="141" t="s">
        <v>1393</v>
      </c>
      <c r="E208" s="141" t="s">
        <v>425</v>
      </c>
      <c r="F208" s="141" t="s">
        <v>1307</v>
      </c>
      <c r="G208" s="141" t="s">
        <v>1392</v>
      </c>
      <c r="H208" s="141" t="s">
        <v>1397</v>
      </c>
      <c r="I208" s="141" t="s">
        <v>1395</v>
      </c>
      <c r="J208" s="142" t="s">
        <v>426</v>
      </c>
      <c r="K208" s="275">
        <f>K211+K209</f>
        <v>50000</v>
      </c>
      <c r="L208" s="275">
        <f>L211+L209</f>
        <v>46265.26</v>
      </c>
      <c r="M208" s="276">
        <f t="shared" si="7"/>
        <v>3734.739999999998</v>
      </c>
      <c r="N208" s="91"/>
      <c r="O208" s="91"/>
      <c r="P208" s="91"/>
      <c r="Q208" s="91"/>
      <c r="R208" s="91"/>
      <c r="S208" s="91"/>
      <c r="T208" s="91"/>
      <c r="U208" s="91"/>
      <c r="V208" s="91"/>
    </row>
    <row r="209" spans="1:22" s="10" customFormat="1" ht="33.75">
      <c r="A209" s="143" t="s">
        <v>1625</v>
      </c>
      <c r="B209" s="144" t="s">
        <v>253</v>
      </c>
      <c r="C209" s="145" t="s">
        <v>706</v>
      </c>
      <c r="D209" s="146" t="s">
        <v>1393</v>
      </c>
      <c r="E209" s="146" t="s">
        <v>425</v>
      </c>
      <c r="F209" s="146" t="s">
        <v>1307</v>
      </c>
      <c r="G209" s="146" t="s">
        <v>1392</v>
      </c>
      <c r="H209" s="146" t="s">
        <v>1397</v>
      </c>
      <c r="I209" s="146" t="s">
        <v>1395</v>
      </c>
      <c r="J209" s="147" t="s">
        <v>426</v>
      </c>
      <c r="K209" s="276">
        <v>0</v>
      </c>
      <c r="L209" s="276">
        <f>L210</f>
        <v>2000</v>
      </c>
      <c r="M209" s="276" t="str">
        <f t="shared" si="7"/>
        <v>-</v>
      </c>
      <c r="N209" s="91"/>
      <c r="O209" s="91"/>
      <c r="P209" s="91"/>
      <c r="Q209" s="91"/>
      <c r="R209" s="91"/>
      <c r="S209" s="91"/>
      <c r="T209" s="91"/>
      <c r="U209" s="91"/>
      <c r="V209" s="91"/>
    </row>
    <row r="210" spans="1:22" s="10" customFormat="1" ht="56.25">
      <c r="A210" s="148" t="s">
        <v>826</v>
      </c>
      <c r="B210" s="144" t="s">
        <v>253</v>
      </c>
      <c r="C210" s="145" t="s">
        <v>706</v>
      </c>
      <c r="D210" s="146" t="s">
        <v>1393</v>
      </c>
      <c r="E210" s="146" t="s">
        <v>425</v>
      </c>
      <c r="F210" s="146" t="s">
        <v>1307</v>
      </c>
      <c r="G210" s="146" t="s">
        <v>1392</v>
      </c>
      <c r="H210" s="146" t="s">
        <v>1397</v>
      </c>
      <c r="I210" s="146" t="s">
        <v>707</v>
      </c>
      <c r="J210" s="147" t="s">
        <v>426</v>
      </c>
      <c r="K210" s="221">
        <v>0</v>
      </c>
      <c r="L210" s="221">
        <v>2000</v>
      </c>
      <c r="M210" s="276" t="str">
        <f t="shared" si="7"/>
        <v>-</v>
      </c>
      <c r="N210" s="91"/>
      <c r="O210" s="91"/>
      <c r="P210" s="91"/>
      <c r="Q210" s="91"/>
      <c r="R210" s="91"/>
      <c r="S210" s="91"/>
      <c r="T210" s="91"/>
      <c r="U210" s="91"/>
      <c r="V210" s="91"/>
    </row>
    <row r="211" spans="1:22" s="10" customFormat="1" ht="33.75">
      <c r="A211" s="143" t="s">
        <v>1625</v>
      </c>
      <c r="B211" s="144" t="s">
        <v>253</v>
      </c>
      <c r="C211" s="145" t="s">
        <v>1300</v>
      </c>
      <c r="D211" s="146" t="s">
        <v>1393</v>
      </c>
      <c r="E211" s="146" t="s">
        <v>425</v>
      </c>
      <c r="F211" s="146" t="s">
        <v>1307</v>
      </c>
      <c r="G211" s="146" t="s">
        <v>1392</v>
      </c>
      <c r="H211" s="146" t="s">
        <v>1397</v>
      </c>
      <c r="I211" s="146" t="s">
        <v>1395</v>
      </c>
      <c r="J211" s="147" t="s">
        <v>426</v>
      </c>
      <c r="K211" s="299">
        <f>20000+30000</f>
        <v>50000</v>
      </c>
      <c r="L211" s="276">
        <f>L212</f>
        <v>44265.26</v>
      </c>
      <c r="M211" s="276">
        <f t="shared" si="7"/>
        <v>5734.739999999998</v>
      </c>
      <c r="N211" s="91"/>
      <c r="O211" s="91"/>
      <c r="P211" s="91"/>
      <c r="Q211" s="91"/>
      <c r="R211" s="91"/>
      <c r="S211" s="91"/>
      <c r="T211" s="91"/>
      <c r="U211" s="91"/>
      <c r="V211" s="91"/>
    </row>
    <row r="212" spans="1:22" s="10" customFormat="1" ht="56.25">
      <c r="A212" s="148" t="s">
        <v>826</v>
      </c>
      <c r="B212" s="144" t="s">
        <v>253</v>
      </c>
      <c r="C212" s="145" t="s">
        <v>1300</v>
      </c>
      <c r="D212" s="146" t="s">
        <v>1393</v>
      </c>
      <c r="E212" s="146" t="s">
        <v>425</v>
      </c>
      <c r="F212" s="146" t="s">
        <v>1307</v>
      </c>
      <c r="G212" s="146" t="s">
        <v>1392</v>
      </c>
      <c r="H212" s="146" t="s">
        <v>1397</v>
      </c>
      <c r="I212" s="146" t="s">
        <v>707</v>
      </c>
      <c r="J212" s="147" t="s">
        <v>426</v>
      </c>
      <c r="K212" s="221">
        <v>0</v>
      </c>
      <c r="L212" s="221">
        <v>44265.26</v>
      </c>
      <c r="M212" s="276" t="str">
        <f>IF(K212-L212&gt;0,K212-L212,"-")</f>
        <v>-</v>
      </c>
      <c r="N212" s="91"/>
      <c r="O212" s="91"/>
      <c r="P212" s="91"/>
      <c r="Q212" s="91"/>
      <c r="R212" s="91"/>
      <c r="S212" s="91"/>
      <c r="T212" s="91"/>
      <c r="U212" s="91"/>
      <c r="V212" s="91"/>
    </row>
    <row r="213" spans="1:22" s="10" customFormat="1" ht="22.5">
      <c r="A213" s="139" t="s">
        <v>747</v>
      </c>
      <c r="B213" s="135" t="s">
        <v>253</v>
      </c>
      <c r="C213" s="140" t="s">
        <v>1392</v>
      </c>
      <c r="D213" s="141" t="s">
        <v>1393</v>
      </c>
      <c r="E213" s="141" t="s">
        <v>425</v>
      </c>
      <c r="F213" s="141" t="s">
        <v>1308</v>
      </c>
      <c r="G213" s="141" t="s">
        <v>1392</v>
      </c>
      <c r="H213" s="141" t="s">
        <v>1394</v>
      </c>
      <c r="I213" s="141" t="s">
        <v>1395</v>
      </c>
      <c r="J213" s="142" t="s">
        <v>426</v>
      </c>
      <c r="K213" s="275">
        <f>K214</f>
        <v>7020475.600000001</v>
      </c>
      <c r="L213" s="275">
        <f>L214</f>
        <v>6767476.250000001</v>
      </c>
      <c r="M213" s="276">
        <f t="shared" si="7"/>
        <v>252999.34999999963</v>
      </c>
      <c r="N213" s="91"/>
      <c r="O213" s="91"/>
      <c r="P213" s="91"/>
      <c r="Q213" s="91"/>
      <c r="R213" s="91"/>
      <c r="S213" s="91"/>
      <c r="T213" s="91"/>
      <c r="U213" s="91"/>
      <c r="V213" s="91"/>
    </row>
    <row r="214" spans="1:22" s="10" customFormat="1" ht="22.5">
      <c r="A214" s="143" t="s">
        <v>748</v>
      </c>
      <c r="B214" s="144" t="s">
        <v>253</v>
      </c>
      <c r="C214" s="145" t="s">
        <v>1392</v>
      </c>
      <c r="D214" s="146" t="s">
        <v>1393</v>
      </c>
      <c r="E214" s="146" t="s">
        <v>425</v>
      </c>
      <c r="F214" s="146" t="s">
        <v>1308</v>
      </c>
      <c r="G214" s="146" t="s">
        <v>1037</v>
      </c>
      <c r="H214" s="146" t="s">
        <v>673</v>
      </c>
      <c r="I214" s="146" t="s">
        <v>1395</v>
      </c>
      <c r="J214" s="147" t="s">
        <v>426</v>
      </c>
      <c r="K214" s="276">
        <f>K215+K216+K217+K219+K220+K222+K224+K225+K228+K232+K226+K227+K231+K230+K229+K233</f>
        <v>7020475.600000001</v>
      </c>
      <c r="L214" s="276">
        <f>L215+L216+L217+L219+L220+L222+L224+L225+L228+L232+L226+L227+L231+L230+L229+L233</f>
        <v>6767476.250000001</v>
      </c>
      <c r="M214" s="276">
        <f t="shared" si="7"/>
        <v>252999.34999999963</v>
      </c>
      <c r="N214" s="91"/>
      <c r="O214" s="91"/>
      <c r="P214" s="91"/>
      <c r="Q214" s="91"/>
      <c r="R214" s="91"/>
      <c r="S214" s="91"/>
      <c r="T214" s="91"/>
      <c r="U214" s="91"/>
      <c r="V214" s="91"/>
    </row>
    <row r="215" spans="1:22" s="10" customFormat="1" ht="22.5">
      <c r="A215" s="143" t="s">
        <v>748</v>
      </c>
      <c r="B215" s="144" t="s">
        <v>253</v>
      </c>
      <c r="C215" s="145" t="s">
        <v>639</v>
      </c>
      <c r="D215" s="146" t="s">
        <v>1393</v>
      </c>
      <c r="E215" s="146" t="s">
        <v>425</v>
      </c>
      <c r="F215" s="146" t="s">
        <v>1308</v>
      </c>
      <c r="G215" s="146" t="s">
        <v>1037</v>
      </c>
      <c r="H215" s="146" t="s">
        <v>673</v>
      </c>
      <c r="I215" s="146" t="s">
        <v>1395</v>
      </c>
      <c r="J215" s="147" t="s">
        <v>426</v>
      </c>
      <c r="K215" s="299">
        <f>88450+22930</f>
        <v>111380</v>
      </c>
      <c r="L215" s="221">
        <v>0</v>
      </c>
      <c r="M215" s="276">
        <f t="shared" si="7"/>
        <v>111380</v>
      </c>
      <c r="N215" s="91"/>
      <c r="O215" s="91"/>
      <c r="P215" s="91"/>
      <c r="Q215" s="91"/>
      <c r="R215" s="91"/>
      <c r="S215" s="91"/>
      <c r="T215" s="91"/>
      <c r="U215" s="91"/>
      <c r="V215" s="91"/>
    </row>
    <row r="216" spans="1:22" s="10" customFormat="1" ht="22.5">
      <c r="A216" s="143" t="s">
        <v>748</v>
      </c>
      <c r="B216" s="144" t="s">
        <v>253</v>
      </c>
      <c r="C216" s="145" t="s">
        <v>1309</v>
      </c>
      <c r="D216" s="146" t="s">
        <v>1393</v>
      </c>
      <c r="E216" s="146" t="s">
        <v>425</v>
      </c>
      <c r="F216" s="146" t="s">
        <v>1308</v>
      </c>
      <c r="G216" s="146" t="s">
        <v>1037</v>
      </c>
      <c r="H216" s="146" t="s">
        <v>673</v>
      </c>
      <c r="I216" s="146" t="s">
        <v>1395</v>
      </c>
      <c r="J216" s="147" t="s">
        <v>426</v>
      </c>
      <c r="K216" s="299">
        <f>8500+29500</f>
        <v>38000</v>
      </c>
      <c r="L216" s="221">
        <v>48000</v>
      </c>
      <c r="M216" s="276" t="str">
        <f t="shared" si="7"/>
        <v>-</v>
      </c>
      <c r="N216" s="91"/>
      <c r="O216" s="91"/>
      <c r="P216" s="91"/>
      <c r="Q216" s="91"/>
      <c r="R216" s="91"/>
      <c r="S216" s="91"/>
      <c r="T216" s="91"/>
      <c r="U216" s="91"/>
      <c r="V216" s="91"/>
    </row>
    <row r="217" spans="1:22" s="10" customFormat="1" ht="22.5">
      <c r="A217" s="143" t="s">
        <v>748</v>
      </c>
      <c r="B217" s="144" t="s">
        <v>253</v>
      </c>
      <c r="C217" s="145" t="s">
        <v>1304</v>
      </c>
      <c r="D217" s="146" t="s">
        <v>1393</v>
      </c>
      <c r="E217" s="146" t="s">
        <v>425</v>
      </c>
      <c r="F217" s="146" t="s">
        <v>1308</v>
      </c>
      <c r="G217" s="146" t="s">
        <v>1037</v>
      </c>
      <c r="H217" s="146" t="s">
        <v>673</v>
      </c>
      <c r="I217" s="146" t="s">
        <v>1395</v>
      </c>
      <c r="J217" s="147" t="s">
        <v>426</v>
      </c>
      <c r="K217" s="299">
        <f>682500-177500</f>
        <v>505000</v>
      </c>
      <c r="L217" s="276">
        <f>L218</f>
        <v>363835.77</v>
      </c>
      <c r="M217" s="276">
        <f t="shared" si="7"/>
        <v>141164.22999999998</v>
      </c>
      <c r="N217" s="91"/>
      <c r="O217" s="91"/>
      <c r="P217" s="91"/>
      <c r="Q217" s="91"/>
      <c r="R217" s="91"/>
      <c r="S217" s="91"/>
      <c r="T217" s="91"/>
      <c r="U217" s="91"/>
      <c r="V217" s="91"/>
    </row>
    <row r="218" spans="1:22" s="10" customFormat="1" ht="45">
      <c r="A218" s="148" t="s">
        <v>754</v>
      </c>
      <c r="B218" s="144" t="s">
        <v>253</v>
      </c>
      <c r="C218" s="145" t="s">
        <v>1304</v>
      </c>
      <c r="D218" s="146" t="s">
        <v>1393</v>
      </c>
      <c r="E218" s="146" t="s">
        <v>425</v>
      </c>
      <c r="F218" s="146" t="s">
        <v>1308</v>
      </c>
      <c r="G218" s="146" t="s">
        <v>1037</v>
      </c>
      <c r="H218" s="146" t="s">
        <v>673</v>
      </c>
      <c r="I218" s="146" t="s">
        <v>707</v>
      </c>
      <c r="J218" s="147" t="s">
        <v>426</v>
      </c>
      <c r="K218" s="221">
        <v>0</v>
      </c>
      <c r="L218" s="221">
        <v>363835.77</v>
      </c>
      <c r="M218" s="276" t="str">
        <f t="shared" si="7"/>
        <v>-</v>
      </c>
      <c r="N218" s="91"/>
      <c r="O218" s="91"/>
      <c r="P218" s="91"/>
      <c r="Q218" s="91"/>
      <c r="R218" s="91"/>
      <c r="S218" s="91"/>
      <c r="T218" s="91"/>
      <c r="U218" s="91"/>
      <c r="V218" s="91"/>
    </row>
    <row r="219" spans="1:22" s="10" customFormat="1" ht="22.5">
      <c r="A219" s="143" t="s">
        <v>748</v>
      </c>
      <c r="B219" s="144" t="s">
        <v>253</v>
      </c>
      <c r="C219" s="145" t="s">
        <v>1039</v>
      </c>
      <c r="D219" s="146" t="s">
        <v>1393</v>
      </c>
      <c r="E219" s="146" t="s">
        <v>425</v>
      </c>
      <c r="F219" s="146" t="s">
        <v>1308</v>
      </c>
      <c r="G219" s="146" t="s">
        <v>1037</v>
      </c>
      <c r="H219" s="146" t="s">
        <v>673</v>
      </c>
      <c r="I219" s="146" t="s">
        <v>1395</v>
      </c>
      <c r="J219" s="147" t="s">
        <v>426</v>
      </c>
      <c r="K219" s="299">
        <f>15000-5000</f>
        <v>10000</v>
      </c>
      <c r="L219" s="221">
        <v>0</v>
      </c>
      <c r="M219" s="276">
        <f t="shared" si="7"/>
        <v>10000</v>
      </c>
      <c r="N219" s="91"/>
      <c r="O219" s="91"/>
      <c r="P219" s="91"/>
      <c r="Q219" s="91"/>
      <c r="R219" s="91"/>
      <c r="S219" s="91"/>
      <c r="T219" s="91"/>
      <c r="U219" s="91"/>
      <c r="V219" s="91"/>
    </row>
    <row r="220" spans="1:22" s="12" customFormat="1" ht="22.5">
      <c r="A220" s="143" t="s">
        <v>748</v>
      </c>
      <c r="B220" s="144" t="s">
        <v>253</v>
      </c>
      <c r="C220" s="145" t="s">
        <v>1310</v>
      </c>
      <c r="D220" s="146" t="s">
        <v>1393</v>
      </c>
      <c r="E220" s="146" t="s">
        <v>425</v>
      </c>
      <c r="F220" s="146" t="s">
        <v>1308</v>
      </c>
      <c r="G220" s="146" t="s">
        <v>1037</v>
      </c>
      <c r="H220" s="146" t="s">
        <v>673</v>
      </c>
      <c r="I220" s="146" t="s">
        <v>1395</v>
      </c>
      <c r="J220" s="147" t="s">
        <v>426</v>
      </c>
      <c r="K220" s="299">
        <f>2100+400</f>
        <v>2500</v>
      </c>
      <c r="L220" s="276">
        <f>L221</f>
        <v>2500</v>
      </c>
      <c r="M220" s="276" t="str">
        <f t="shared" si="7"/>
        <v>-</v>
      </c>
      <c r="N220" s="282"/>
      <c r="O220" s="282"/>
      <c r="P220" s="282"/>
      <c r="Q220" s="282"/>
      <c r="R220" s="282"/>
      <c r="S220" s="282"/>
      <c r="T220" s="282"/>
      <c r="U220" s="282"/>
      <c r="V220" s="282"/>
    </row>
    <row r="221" spans="1:22" s="10" customFormat="1" ht="33.75">
      <c r="A221" s="143" t="s">
        <v>2208</v>
      </c>
      <c r="B221" s="144" t="s">
        <v>253</v>
      </c>
      <c r="C221" s="145" t="s">
        <v>1310</v>
      </c>
      <c r="D221" s="146" t="s">
        <v>1393</v>
      </c>
      <c r="E221" s="146" t="s">
        <v>425</v>
      </c>
      <c r="F221" s="146" t="s">
        <v>1308</v>
      </c>
      <c r="G221" s="146" t="s">
        <v>1037</v>
      </c>
      <c r="H221" s="146" t="s">
        <v>673</v>
      </c>
      <c r="I221" s="146" t="s">
        <v>2207</v>
      </c>
      <c r="J221" s="147" t="s">
        <v>426</v>
      </c>
      <c r="K221" s="221">
        <v>0</v>
      </c>
      <c r="L221" s="221">
        <v>2500</v>
      </c>
      <c r="M221" s="276" t="str">
        <f t="shared" si="7"/>
        <v>-</v>
      </c>
      <c r="N221" s="91"/>
      <c r="O221" s="91"/>
      <c r="P221" s="91"/>
      <c r="Q221" s="91"/>
      <c r="R221" s="91"/>
      <c r="S221" s="91"/>
      <c r="T221" s="91"/>
      <c r="U221" s="91"/>
      <c r="V221" s="91"/>
    </row>
    <row r="222" spans="1:22" s="10" customFormat="1" ht="22.5">
      <c r="A222" s="143" t="s">
        <v>748</v>
      </c>
      <c r="B222" s="144" t="s">
        <v>253</v>
      </c>
      <c r="C222" s="145" t="s">
        <v>1300</v>
      </c>
      <c r="D222" s="146" t="s">
        <v>1393</v>
      </c>
      <c r="E222" s="146" t="s">
        <v>425</v>
      </c>
      <c r="F222" s="146" t="s">
        <v>1308</v>
      </c>
      <c r="G222" s="146" t="s">
        <v>1037</v>
      </c>
      <c r="H222" s="146" t="s">
        <v>673</v>
      </c>
      <c r="I222" s="146" t="s">
        <v>1395</v>
      </c>
      <c r="J222" s="147" t="s">
        <v>426</v>
      </c>
      <c r="K222" s="299">
        <f>800000+200000</f>
        <v>1000000</v>
      </c>
      <c r="L222" s="276">
        <f>L223</f>
        <v>962500.49</v>
      </c>
      <c r="M222" s="276">
        <f t="shared" si="7"/>
        <v>37499.51000000001</v>
      </c>
      <c r="N222" s="91"/>
      <c r="O222" s="91"/>
      <c r="P222" s="91"/>
      <c r="Q222" s="91"/>
      <c r="R222" s="91"/>
      <c r="S222" s="91"/>
      <c r="T222" s="91"/>
      <c r="U222" s="91"/>
      <c r="V222" s="91"/>
    </row>
    <row r="223" spans="1:22" s="10" customFormat="1" ht="45">
      <c r="A223" s="148" t="s">
        <v>754</v>
      </c>
      <c r="B223" s="144" t="s">
        <v>253</v>
      </c>
      <c r="C223" s="150" t="s">
        <v>1300</v>
      </c>
      <c r="D223" s="151" t="s">
        <v>1393</v>
      </c>
      <c r="E223" s="151" t="s">
        <v>425</v>
      </c>
      <c r="F223" s="151" t="s">
        <v>1308</v>
      </c>
      <c r="G223" s="151" t="s">
        <v>1037</v>
      </c>
      <c r="H223" s="151" t="s">
        <v>673</v>
      </c>
      <c r="I223" s="151" t="s">
        <v>707</v>
      </c>
      <c r="J223" s="152" t="s">
        <v>426</v>
      </c>
      <c r="K223" s="221">
        <v>0</v>
      </c>
      <c r="L223" s="221">
        <v>962500.49</v>
      </c>
      <c r="M223" s="276" t="str">
        <f t="shared" si="7"/>
        <v>-</v>
      </c>
      <c r="N223" s="91"/>
      <c r="O223" s="91"/>
      <c r="P223" s="91"/>
      <c r="Q223" s="91"/>
      <c r="R223" s="91"/>
      <c r="S223" s="91"/>
      <c r="T223" s="91"/>
      <c r="U223" s="91"/>
      <c r="V223" s="91"/>
    </row>
    <row r="224" spans="1:22" s="12" customFormat="1" ht="22.5">
      <c r="A224" s="143" t="s">
        <v>1311</v>
      </c>
      <c r="B224" s="144" t="s">
        <v>253</v>
      </c>
      <c r="C224" s="150" t="s">
        <v>1034</v>
      </c>
      <c r="D224" s="151" t="s">
        <v>1393</v>
      </c>
      <c r="E224" s="151" t="s">
        <v>425</v>
      </c>
      <c r="F224" s="151" t="s">
        <v>1308</v>
      </c>
      <c r="G224" s="151" t="s">
        <v>1037</v>
      </c>
      <c r="H224" s="151" t="s">
        <v>673</v>
      </c>
      <c r="I224" s="151" t="s">
        <v>721</v>
      </c>
      <c r="J224" s="152" t="s">
        <v>426</v>
      </c>
      <c r="K224" s="221">
        <v>70000</v>
      </c>
      <c r="L224" s="221">
        <v>93810.83</v>
      </c>
      <c r="M224" s="276" t="str">
        <f t="shared" si="7"/>
        <v>-</v>
      </c>
      <c r="N224" s="282"/>
      <c r="O224" s="282"/>
      <c r="P224" s="282"/>
      <c r="Q224" s="282"/>
      <c r="R224" s="282"/>
      <c r="S224" s="282"/>
      <c r="T224" s="282"/>
      <c r="U224" s="282"/>
      <c r="V224" s="282"/>
    </row>
    <row r="225" spans="1:22" s="10" customFormat="1" ht="22.5">
      <c r="A225" s="143" t="s">
        <v>51</v>
      </c>
      <c r="B225" s="144" t="s">
        <v>253</v>
      </c>
      <c r="C225" s="186" t="s">
        <v>1034</v>
      </c>
      <c r="D225" s="187" t="s">
        <v>1393</v>
      </c>
      <c r="E225" s="187" t="s">
        <v>425</v>
      </c>
      <c r="F225" s="187" t="s">
        <v>1308</v>
      </c>
      <c r="G225" s="187" t="s">
        <v>1037</v>
      </c>
      <c r="H225" s="188" t="s">
        <v>673</v>
      </c>
      <c r="I225" s="187" t="s">
        <v>722</v>
      </c>
      <c r="J225" s="189" t="s">
        <v>426</v>
      </c>
      <c r="K225" s="221">
        <v>57000</v>
      </c>
      <c r="L225" s="221">
        <v>56631.32</v>
      </c>
      <c r="M225" s="276">
        <f t="shared" si="7"/>
        <v>368.6800000000003</v>
      </c>
      <c r="N225" s="91"/>
      <c r="O225" s="91"/>
      <c r="P225" s="91"/>
      <c r="Q225" s="91"/>
      <c r="R225" s="91"/>
      <c r="S225" s="91"/>
      <c r="T225" s="91"/>
      <c r="U225" s="91"/>
      <c r="V225" s="91"/>
    </row>
    <row r="226" spans="1:22" s="10" customFormat="1" ht="22.5">
      <c r="A226" s="196" t="s">
        <v>747</v>
      </c>
      <c r="B226" s="197" t="s">
        <v>253</v>
      </c>
      <c r="C226" s="186" t="s">
        <v>1034</v>
      </c>
      <c r="D226" s="187" t="s">
        <v>1393</v>
      </c>
      <c r="E226" s="187" t="s">
        <v>425</v>
      </c>
      <c r="F226" s="187" t="s">
        <v>1308</v>
      </c>
      <c r="G226" s="187" t="s">
        <v>1037</v>
      </c>
      <c r="H226" s="188" t="s">
        <v>673</v>
      </c>
      <c r="I226" s="187" t="s">
        <v>1042</v>
      </c>
      <c r="J226" s="189" t="s">
        <v>426</v>
      </c>
      <c r="K226" s="299">
        <f>229000-224003.7</f>
        <v>4996.299999999988</v>
      </c>
      <c r="L226" s="221">
        <v>-99804.54</v>
      </c>
      <c r="M226" s="276">
        <f>IF(K226-L226&gt;0,K226-L226,"-")</f>
        <v>104800.83999999998</v>
      </c>
      <c r="N226" s="91"/>
      <c r="O226" s="91"/>
      <c r="P226" s="91"/>
      <c r="Q226" s="91"/>
      <c r="R226" s="91"/>
      <c r="S226" s="91"/>
      <c r="T226" s="91"/>
      <c r="U226" s="91"/>
      <c r="V226" s="91"/>
    </row>
    <row r="227" spans="1:22" s="10" customFormat="1" ht="56.25">
      <c r="A227" s="196" t="s">
        <v>675</v>
      </c>
      <c r="B227" s="197" t="s">
        <v>253</v>
      </c>
      <c r="C227" s="186" t="s">
        <v>1034</v>
      </c>
      <c r="D227" s="187" t="s">
        <v>1393</v>
      </c>
      <c r="E227" s="187" t="s">
        <v>425</v>
      </c>
      <c r="F227" s="187" t="s">
        <v>1308</v>
      </c>
      <c r="G227" s="187" t="s">
        <v>1037</v>
      </c>
      <c r="H227" s="188" t="s">
        <v>673</v>
      </c>
      <c r="I227" s="187" t="s">
        <v>674</v>
      </c>
      <c r="J227" s="189" t="s">
        <v>426</v>
      </c>
      <c r="K227" s="221">
        <v>224003.7</v>
      </c>
      <c r="L227" s="221">
        <v>279023.79</v>
      </c>
      <c r="M227" s="275" t="str">
        <f t="shared" si="7"/>
        <v>-</v>
      </c>
      <c r="N227" s="91"/>
      <c r="O227" s="91"/>
      <c r="P227" s="91"/>
      <c r="Q227" s="91"/>
      <c r="R227" s="91"/>
      <c r="S227" s="91"/>
      <c r="T227" s="91"/>
      <c r="U227" s="91"/>
      <c r="V227" s="91"/>
    </row>
    <row r="228" spans="1:22" s="10" customFormat="1" ht="22.5">
      <c r="A228" s="196" t="s">
        <v>748</v>
      </c>
      <c r="B228" s="197" t="s">
        <v>253</v>
      </c>
      <c r="C228" s="145" t="s">
        <v>65</v>
      </c>
      <c r="D228" s="146" t="s">
        <v>1393</v>
      </c>
      <c r="E228" s="146" t="s">
        <v>425</v>
      </c>
      <c r="F228" s="146" t="s">
        <v>1308</v>
      </c>
      <c r="G228" s="146" t="s">
        <v>1037</v>
      </c>
      <c r="H228" s="146" t="s">
        <v>673</v>
      </c>
      <c r="I228" s="146" t="s">
        <v>1395</v>
      </c>
      <c r="J228" s="147" t="s">
        <v>426</v>
      </c>
      <c r="K228" s="299">
        <f>2000000-1178700</f>
        <v>821300</v>
      </c>
      <c r="L228" s="221">
        <v>697773.66</v>
      </c>
      <c r="M228" s="275">
        <f t="shared" si="7"/>
        <v>123526.33999999997</v>
      </c>
      <c r="N228" s="91"/>
      <c r="O228" s="91"/>
      <c r="P228" s="91"/>
      <c r="Q228" s="91"/>
      <c r="R228" s="91"/>
      <c r="S228" s="91"/>
      <c r="T228" s="91"/>
      <c r="U228" s="91"/>
      <c r="V228" s="91"/>
    </row>
    <row r="229" spans="1:22" s="12" customFormat="1" ht="22.5">
      <c r="A229" s="196" t="s">
        <v>748</v>
      </c>
      <c r="B229" s="197" t="s">
        <v>253</v>
      </c>
      <c r="C229" s="145" t="s">
        <v>66</v>
      </c>
      <c r="D229" s="146" t="s">
        <v>1393</v>
      </c>
      <c r="E229" s="146" t="s">
        <v>425</v>
      </c>
      <c r="F229" s="146" t="s">
        <v>1308</v>
      </c>
      <c r="G229" s="146" t="s">
        <v>1037</v>
      </c>
      <c r="H229" s="146" t="s">
        <v>673</v>
      </c>
      <c r="I229" s="146" t="s">
        <v>1395</v>
      </c>
      <c r="J229" s="147" t="s">
        <v>426</v>
      </c>
      <c r="K229" s="221">
        <v>4088728.66</v>
      </c>
      <c r="L229" s="221">
        <v>4257607.63</v>
      </c>
      <c r="M229" s="276" t="str">
        <f>IF(K229-L229&gt;0,K229-L229,"-")</f>
        <v>-</v>
      </c>
      <c r="N229" s="282"/>
      <c r="O229" s="282"/>
      <c r="P229" s="282"/>
      <c r="Q229" s="282"/>
      <c r="R229" s="282"/>
      <c r="S229" s="282"/>
      <c r="T229" s="282"/>
      <c r="U229" s="282"/>
      <c r="V229" s="282"/>
    </row>
    <row r="230" spans="1:22" s="12" customFormat="1" ht="22.5">
      <c r="A230" s="196" t="s">
        <v>748</v>
      </c>
      <c r="B230" s="197" t="s">
        <v>253</v>
      </c>
      <c r="C230" s="145" t="s">
        <v>715</v>
      </c>
      <c r="D230" s="146" t="s">
        <v>1393</v>
      </c>
      <c r="E230" s="146" t="s">
        <v>425</v>
      </c>
      <c r="F230" s="146" t="s">
        <v>1308</v>
      </c>
      <c r="G230" s="146" t="s">
        <v>1037</v>
      </c>
      <c r="H230" s="146" t="s">
        <v>673</v>
      </c>
      <c r="I230" s="146" t="s">
        <v>1395</v>
      </c>
      <c r="J230" s="147" t="s">
        <v>426</v>
      </c>
      <c r="K230" s="221">
        <v>1500</v>
      </c>
      <c r="L230" s="221">
        <v>1451.2</v>
      </c>
      <c r="M230" s="276">
        <f>IF(K230-L230&gt;0,K230-L230,"-")</f>
        <v>48.799999999999955</v>
      </c>
      <c r="N230" s="282"/>
      <c r="O230" s="282"/>
      <c r="P230" s="282"/>
      <c r="Q230" s="282"/>
      <c r="R230" s="282"/>
      <c r="S230" s="282"/>
      <c r="T230" s="282"/>
      <c r="U230" s="282"/>
      <c r="V230" s="282"/>
    </row>
    <row r="231" spans="1:22" s="12" customFormat="1" ht="22.5">
      <c r="A231" s="185" t="s">
        <v>748</v>
      </c>
      <c r="B231" s="197" t="s">
        <v>253</v>
      </c>
      <c r="C231" s="145" t="s">
        <v>712</v>
      </c>
      <c r="D231" s="146" t="s">
        <v>1393</v>
      </c>
      <c r="E231" s="146" t="s">
        <v>425</v>
      </c>
      <c r="F231" s="146" t="s">
        <v>1308</v>
      </c>
      <c r="G231" s="146" t="s">
        <v>1037</v>
      </c>
      <c r="H231" s="146" t="s">
        <v>673</v>
      </c>
      <c r="I231" s="146" t="s">
        <v>1395</v>
      </c>
      <c r="J231" s="147" t="s">
        <v>426</v>
      </c>
      <c r="K231" s="299">
        <f>227174.69-159074.69</f>
        <v>68100</v>
      </c>
      <c r="L231" s="221">
        <v>86661.37</v>
      </c>
      <c r="M231" s="276" t="str">
        <f>IF(K231-L231&gt;0,K231-L231,"-")</f>
        <v>-</v>
      </c>
      <c r="N231" s="282"/>
      <c r="O231" s="282"/>
      <c r="P231" s="282"/>
      <c r="Q231" s="282"/>
      <c r="R231" s="282"/>
      <c r="S231" s="282"/>
      <c r="T231" s="282"/>
      <c r="U231" s="282"/>
      <c r="V231" s="282"/>
    </row>
    <row r="232" spans="1:22" s="10" customFormat="1" ht="22.5">
      <c r="A232" s="185" t="s">
        <v>748</v>
      </c>
      <c r="B232" s="197" t="s">
        <v>253</v>
      </c>
      <c r="C232" s="145" t="s">
        <v>716</v>
      </c>
      <c r="D232" s="146" t="s">
        <v>1393</v>
      </c>
      <c r="E232" s="146" t="s">
        <v>425</v>
      </c>
      <c r="F232" s="146" t="s">
        <v>1308</v>
      </c>
      <c r="G232" s="146" t="s">
        <v>1037</v>
      </c>
      <c r="H232" s="146" t="s">
        <v>673</v>
      </c>
      <c r="I232" s="146" t="s">
        <v>1395</v>
      </c>
      <c r="J232" s="147" t="s">
        <v>426</v>
      </c>
      <c r="K232" s="221">
        <v>17700</v>
      </c>
      <c r="L232" s="221">
        <v>17217.79</v>
      </c>
      <c r="M232" s="275">
        <f t="shared" si="7"/>
        <v>482.2099999999991</v>
      </c>
      <c r="N232" s="229"/>
      <c r="O232" s="229"/>
      <c r="P232" s="91"/>
      <c r="Q232" s="91"/>
      <c r="R232" s="91"/>
      <c r="S232" s="91"/>
      <c r="T232" s="91"/>
      <c r="U232" s="91"/>
      <c r="V232" s="91"/>
    </row>
    <row r="233" spans="1:22" s="12" customFormat="1" ht="22.5">
      <c r="A233" s="185" t="s">
        <v>748</v>
      </c>
      <c r="B233" s="197" t="s">
        <v>253</v>
      </c>
      <c r="C233" s="145" t="s">
        <v>328</v>
      </c>
      <c r="D233" s="146" t="s">
        <v>1393</v>
      </c>
      <c r="E233" s="146" t="s">
        <v>425</v>
      </c>
      <c r="F233" s="146" t="s">
        <v>1308</v>
      </c>
      <c r="G233" s="146" t="s">
        <v>1037</v>
      </c>
      <c r="H233" s="146" t="s">
        <v>673</v>
      </c>
      <c r="I233" s="146" t="s">
        <v>1395</v>
      </c>
      <c r="J233" s="147" t="s">
        <v>426</v>
      </c>
      <c r="K233" s="299">
        <v>266.94</v>
      </c>
      <c r="L233" s="221">
        <v>266.94</v>
      </c>
      <c r="M233" s="275" t="str">
        <f>IF(K233-L233&gt;0,K233-L233,"-")</f>
        <v>-</v>
      </c>
      <c r="N233" s="282"/>
      <c r="O233" s="282"/>
      <c r="P233" s="282"/>
      <c r="Q233" s="282"/>
      <c r="R233" s="282"/>
      <c r="S233" s="282"/>
      <c r="T233" s="282"/>
      <c r="U233" s="282"/>
      <c r="V233" s="282"/>
    </row>
    <row r="234" spans="1:22" s="10" customFormat="1" ht="15">
      <c r="A234" s="190" t="s">
        <v>749</v>
      </c>
      <c r="B234" s="135" t="s">
        <v>253</v>
      </c>
      <c r="C234" s="140" t="s">
        <v>1392</v>
      </c>
      <c r="D234" s="141" t="s">
        <v>1393</v>
      </c>
      <c r="E234" s="141" t="s">
        <v>52</v>
      </c>
      <c r="F234" s="141" t="s">
        <v>1394</v>
      </c>
      <c r="G234" s="141" t="s">
        <v>1392</v>
      </c>
      <c r="H234" s="141" t="s">
        <v>1394</v>
      </c>
      <c r="I234" s="141" t="s">
        <v>1395</v>
      </c>
      <c r="J234" s="142" t="s">
        <v>1392</v>
      </c>
      <c r="K234" s="275">
        <f>K235</f>
        <v>0</v>
      </c>
      <c r="L234" s="275">
        <f>L235</f>
        <v>19893.86000000001</v>
      </c>
      <c r="M234" s="275" t="str">
        <f t="shared" si="7"/>
        <v>-</v>
      </c>
      <c r="N234" s="91"/>
      <c r="O234" s="91"/>
      <c r="P234" s="91"/>
      <c r="Q234" s="91"/>
      <c r="R234" s="91"/>
      <c r="S234" s="91"/>
      <c r="T234" s="91"/>
      <c r="U234" s="91"/>
      <c r="V234" s="91"/>
    </row>
    <row r="235" spans="1:22" s="10" customFormat="1" ht="15">
      <c r="A235" s="191" t="s">
        <v>742</v>
      </c>
      <c r="B235" s="135" t="s">
        <v>253</v>
      </c>
      <c r="C235" s="140" t="s">
        <v>1392</v>
      </c>
      <c r="D235" s="141" t="s">
        <v>1393</v>
      </c>
      <c r="E235" s="141" t="s">
        <v>52</v>
      </c>
      <c r="F235" s="141" t="s">
        <v>1397</v>
      </c>
      <c r="G235" s="141" t="s">
        <v>1392</v>
      </c>
      <c r="H235" s="141" t="s">
        <v>1394</v>
      </c>
      <c r="I235" s="141" t="s">
        <v>1395</v>
      </c>
      <c r="J235" s="142" t="s">
        <v>53</v>
      </c>
      <c r="K235" s="275">
        <f>SUM(K237:K239)</f>
        <v>0</v>
      </c>
      <c r="L235" s="275">
        <f>SUM(L236:L239)</f>
        <v>19893.86000000001</v>
      </c>
      <c r="M235" s="276" t="str">
        <f t="shared" si="7"/>
        <v>-</v>
      </c>
      <c r="N235" s="91"/>
      <c r="O235" s="91"/>
      <c r="P235" s="91"/>
      <c r="Q235" s="91"/>
      <c r="R235" s="91"/>
      <c r="S235" s="91"/>
      <c r="T235" s="91"/>
      <c r="U235" s="91"/>
      <c r="V235" s="91"/>
    </row>
    <row r="236" spans="1:22" s="10" customFormat="1" ht="15">
      <c r="A236" s="182" t="s">
        <v>750</v>
      </c>
      <c r="B236" s="144" t="s">
        <v>253</v>
      </c>
      <c r="C236" s="183" t="s">
        <v>1034</v>
      </c>
      <c r="D236" s="159" t="s">
        <v>1393</v>
      </c>
      <c r="E236" s="159" t="s">
        <v>52</v>
      </c>
      <c r="F236" s="159" t="s">
        <v>1397</v>
      </c>
      <c r="G236" s="159" t="s">
        <v>1037</v>
      </c>
      <c r="H236" s="184" t="s">
        <v>673</v>
      </c>
      <c r="I236" s="159" t="s">
        <v>1395</v>
      </c>
      <c r="J236" s="160" t="s">
        <v>53</v>
      </c>
      <c r="K236" s="221">
        <v>0</v>
      </c>
      <c r="L236" s="221">
        <v>44160.16</v>
      </c>
      <c r="M236" s="276" t="str">
        <f t="shared" si="7"/>
        <v>-</v>
      </c>
      <c r="N236" s="91"/>
      <c r="O236" s="91"/>
      <c r="P236" s="91"/>
      <c r="Q236" s="91"/>
      <c r="R236" s="91"/>
      <c r="S236" s="91"/>
      <c r="T236" s="91"/>
      <c r="U236" s="91"/>
      <c r="V236" s="91"/>
    </row>
    <row r="237" spans="1:22" s="10" customFormat="1" ht="15">
      <c r="A237" s="182" t="s">
        <v>750</v>
      </c>
      <c r="B237" s="144" t="s">
        <v>253</v>
      </c>
      <c r="C237" s="183" t="s">
        <v>2239</v>
      </c>
      <c r="D237" s="159" t="s">
        <v>1393</v>
      </c>
      <c r="E237" s="159" t="s">
        <v>52</v>
      </c>
      <c r="F237" s="159" t="s">
        <v>1397</v>
      </c>
      <c r="G237" s="159" t="s">
        <v>1037</v>
      </c>
      <c r="H237" s="184" t="s">
        <v>673</v>
      </c>
      <c r="I237" s="159" t="s">
        <v>1395</v>
      </c>
      <c r="J237" s="160" t="s">
        <v>53</v>
      </c>
      <c r="K237" s="221">
        <v>0</v>
      </c>
      <c r="L237" s="221">
        <v>-430.09</v>
      </c>
      <c r="M237" s="276">
        <f t="shared" si="7"/>
        <v>430.09</v>
      </c>
      <c r="N237" s="91"/>
      <c r="O237" s="91"/>
      <c r="P237" s="91"/>
      <c r="Q237" s="91"/>
      <c r="R237" s="91"/>
      <c r="S237" s="91"/>
      <c r="T237" s="91"/>
      <c r="U237" s="91"/>
      <c r="V237" s="91"/>
    </row>
    <row r="238" spans="1:22" s="10" customFormat="1" ht="15">
      <c r="A238" s="182" t="s">
        <v>750</v>
      </c>
      <c r="B238" s="144" t="s">
        <v>253</v>
      </c>
      <c r="C238" s="183" t="s">
        <v>1022</v>
      </c>
      <c r="D238" s="159" t="s">
        <v>1393</v>
      </c>
      <c r="E238" s="159" t="s">
        <v>52</v>
      </c>
      <c r="F238" s="159" t="s">
        <v>1397</v>
      </c>
      <c r="G238" s="159" t="s">
        <v>1037</v>
      </c>
      <c r="H238" s="184" t="s">
        <v>673</v>
      </c>
      <c r="I238" s="159" t="s">
        <v>1395</v>
      </c>
      <c r="J238" s="160" t="s">
        <v>53</v>
      </c>
      <c r="K238" s="221">
        <v>0</v>
      </c>
      <c r="L238" s="221">
        <v>-22.59</v>
      </c>
      <c r="M238" s="275">
        <f>IF(K238-L238&gt;0,K238-L238,"-")</f>
        <v>22.59</v>
      </c>
      <c r="N238" s="91"/>
      <c r="O238" s="91"/>
      <c r="P238" s="91"/>
      <c r="Q238" s="91"/>
      <c r="R238" s="91"/>
      <c r="S238" s="91"/>
      <c r="T238" s="91"/>
      <c r="U238" s="91"/>
      <c r="V238" s="91"/>
    </row>
    <row r="239" spans="1:22" s="10" customFormat="1" ht="15">
      <c r="A239" s="182" t="s">
        <v>750</v>
      </c>
      <c r="B239" s="144" t="s">
        <v>253</v>
      </c>
      <c r="C239" s="183" t="s">
        <v>328</v>
      </c>
      <c r="D239" s="159" t="s">
        <v>1393</v>
      </c>
      <c r="E239" s="159" t="s">
        <v>52</v>
      </c>
      <c r="F239" s="159" t="s">
        <v>1397</v>
      </c>
      <c r="G239" s="159" t="s">
        <v>1037</v>
      </c>
      <c r="H239" s="184" t="s">
        <v>673</v>
      </c>
      <c r="I239" s="159" t="s">
        <v>1395</v>
      </c>
      <c r="J239" s="160" t="s">
        <v>53</v>
      </c>
      <c r="K239" s="221">
        <v>0</v>
      </c>
      <c r="L239" s="221">
        <v>-23813.62</v>
      </c>
      <c r="M239" s="275">
        <f t="shared" si="7"/>
        <v>23813.62</v>
      </c>
      <c r="N239" s="91"/>
      <c r="O239" s="91"/>
      <c r="P239" s="91"/>
      <c r="Q239" s="91"/>
      <c r="R239" s="91"/>
      <c r="S239" s="91"/>
      <c r="T239" s="91"/>
      <c r="U239" s="91"/>
      <c r="V239" s="91"/>
    </row>
    <row r="240" spans="1:22" s="10" customFormat="1" ht="15">
      <c r="A240" s="192" t="s">
        <v>1080</v>
      </c>
      <c r="B240" s="135" t="s">
        <v>253</v>
      </c>
      <c r="C240" s="193" t="s">
        <v>1392</v>
      </c>
      <c r="D240" s="164" t="s">
        <v>54</v>
      </c>
      <c r="E240" s="164" t="s">
        <v>1394</v>
      </c>
      <c r="F240" s="164" t="s">
        <v>1394</v>
      </c>
      <c r="G240" s="164" t="s">
        <v>1392</v>
      </c>
      <c r="H240" s="194" t="s">
        <v>1394</v>
      </c>
      <c r="I240" s="164" t="s">
        <v>1395</v>
      </c>
      <c r="J240" s="165" t="s">
        <v>1392</v>
      </c>
      <c r="K240" s="275">
        <f>K241+K374+K358+K363</f>
        <v>7256157744.900001</v>
      </c>
      <c r="L240" s="275">
        <f>L241+L374+L358+L363</f>
        <v>7160465762.2300005</v>
      </c>
      <c r="M240" s="276">
        <f t="shared" si="7"/>
        <v>95691982.67000008</v>
      </c>
      <c r="N240" s="91"/>
      <c r="O240" s="91"/>
      <c r="P240" s="91"/>
      <c r="Q240" s="91"/>
      <c r="R240" s="91"/>
      <c r="S240" s="91"/>
      <c r="T240" s="91"/>
      <c r="U240" s="91"/>
      <c r="V240" s="91"/>
    </row>
    <row r="241" spans="1:22" s="10" customFormat="1" ht="22.5">
      <c r="A241" s="192" t="s">
        <v>751</v>
      </c>
      <c r="B241" s="135" t="s">
        <v>253</v>
      </c>
      <c r="C241" s="193" t="s">
        <v>1392</v>
      </c>
      <c r="D241" s="164" t="s">
        <v>54</v>
      </c>
      <c r="E241" s="164" t="s">
        <v>1400</v>
      </c>
      <c r="F241" s="164" t="s">
        <v>1394</v>
      </c>
      <c r="G241" s="164" t="s">
        <v>1392</v>
      </c>
      <c r="H241" s="194" t="s">
        <v>1394</v>
      </c>
      <c r="I241" s="164" t="s">
        <v>1395</v>
      </c>
      <c r="J241" s="165" t="s">
        <v>1392</v>
      </c>
      <c r="K241" s="275">
        <f>K242+K246+K281+K348</f>
        <v>7147885214.06</v>
      </c>
      <c r="L241" s="275">
        <f>L242+L246+L281+L348</f>
        <v>7052168688.17</v>
      </c>
      <c r="M241" s="275">
        <f t="shared" si="7"/>
        <v>95716525.89000034</v>
      </c>
      <c r="N241" s="91"/>
      <c r="O241" s="91"/>
      <c r="P241" s="91"/>
      <c r="Q241" s="91"/>
      <c r="R241" s="91"/>
      <c r="S241" s="91"/>
      <c r="T241" s="91"/>
      <c r="U241" s="91"/>
      <c r="V241" s="91"/>
    </row>
    <row r="242" spans="1:22" s="10" customFormat="1" ht="15">
      <c r="A242" s="192" t="s">
        <v>925</v>
      </c>
      <c r="B242" s="135" t="s">
        <v>253</v>
      </c>
      <c r="C242" s="193" t="s">
        <v>1392</v>
      </c>
      <c r="D242" s="164" t="s">
        <v>54</v>
      </c>
      <c r="E242" s="164" t="s">
        <v>1400</v>
      </c>
      <c r="F242" s="164" t="s">
        <v>720</v>
      </c>
      <c r="G242" s="164" t="s">
        <v>1392</v>
      </c>
      <c r="H242" s="194" t="s">
        <v>1394</v>
      </c>
      <c r="I242" s="164" t="s">
        <v>1395</v>
      </c>
      <c r="J242" s="165" t="s">
        <v>55</v>
      </c>
      <c r="K242" s="275">
        <f aca="true" t="shared" si="8" ref="K242:L244">K243</f>
        <v>2836415600</v>
      </c>
      <c r="L242" s="275">
        <f t="shared" si="8"/>
        <v>2836415600</v>
      </c>
      <c r="M242" s="276" t="str">
        <f t="shared" si="7"/>
        <v>-</v>
      </c>
      <c r="N242" s="91"/>
      <c r="O242" s="91"/>
      <c r="P242" s="91"/>
      <c r="Q242" s="91"/>
      <c r="R242" s="91"/>
      <c r="S242" s="91"/>
      <c r="T242" s="91"/>
      <c r="U242" s="91"/>
      <c r="V242" s="91"/>
    </row>
    <row r="243" spans="1:22" s="12" customFormat="1" ht="15.75">
      <c r="A243" s="195" t="s">
        <v>752</v>
      </c>
      <c r="B243" s="144" t="s">
        <v>253</v>
      </c>
      <c r="C243" s="183" t="s">
        <v>1392</v>
      </c>
      <c r="D243" s="159" t="s">
        <v>54</v>
      </c>
      <c r="E243" s="159" t="s">
        <v>1400</v>
      </c>
      <c r="F243" s="159" t="s">
        <v>827</v>
      </c>
      <c r="G243" s="159" t="s">
        <v>56</v>
      </c>
      <c r="H243" s="184" t="s">
        <v>1394</v>
      </c>
      <c r="I243" s="159" t="s">
        <v>1395</v>
      </c>
      <c r="J243" s="160" t="s">
        <v>55</v>
      </c>
      <c r="K243" s="276">
        <f t="shared" si="8"/>
        <v>2836415600</v>
      </c>
      <c r="L243" s="276">
        <f t="shared" si="8"/>
        <v>2836415600</v>
      </c>
      <c r="M243" s="275" t="str">
        <f>IF(K243-L243&gt;0,K243-L243,"-")</f>
        <v>-</v>
      </c>
      <c r="N243" s="282"/>
      <c r="O243" s="282"/>
      <c r="P243" s="282"/>
      <c r="Q243" s="282"/>
      <c r="R243" s="282"/>
      <c r="S243" s="282"/>
      <c r="T243" s="282"/>
      <c r="U243" s="282"/>
      <c r="V243" s="282"/>
    </row>
    <row r="244" spans="1:22" s="12" customFormat="1" ht="22.5">
      <c r="A244" s="195" t="s">
        <v>753</v>
      </c>
      <c r="B244" s="144" t="s">
        <v>253</v>
      </c>
      <c r="C244" s="183" t="s">
        <v>1392</v>
      </c>
      <c r="D244" s="159" t="s">
        <v>54</v>
      </c>
      <c r="E244" s="159" t="s">
        <v>1400</v>
      </c>
      <c r="F244" s="159" t="s">
        <v>827</v>
      </c>
      <c r="G244" s="159" t="s">
        <v>56</v>
      </c>
      <c r="H244" s="184" t="s">
        <v>673</v>
      </c>
      <c r="I244" s="159" t="s">
        <v>1395</v>
      </c>
      <c r="J244" s="160" t="s">
        <v>55</v>
      </c>
      <c r="K244" s="276">
        <f t="shared" si="8"/>
        <v>2836415600</v>
      </c>
      <c r="L244" s="276">
        <f t="shared" si="8"/>
        <v>2836415600</v>
      </c>
      <c r="M244" s="276" t="str">
        <f t="shared" si="7"/>
        <v>-</v>
      </c>
      <c r="N244" s="282"/>
      <c r="O244" s="282"/>
      <c r="P244" s="282"/>
      <c r="Q244" s="282"/>
      <c r="R244" s="282"/>
      <c r="S244" s="282"/>
      <c r="T244" s="282"/>
      <c r="U244" s="282"/>
      <c r="V244" s="282"/>
    </row>
    <row r="245" spans="1:22" s="10" customFormat="1" ht="22.5">
      <c r="A245" s="195" t="s">
        <v>1229</v>
      </c>
      <c r="B245" s="144" t="s">
        <v>253</v>
      </c>
      <c r="C245" s="183" t="s">
        <v>328</v>
      </c>
      <c r="D245" s="159" t="s">
        <v>54</v>
      </c>
      <c r="E245" s="159" t="s">
        <v>1400</v>
      </c>
      <c r="F245" s="159" t="s">
        <v>827</v>
      </c>
      <c r="G245" s="159" t="s">
        <v>56</v>
      </c>
      <c r="H245" s="184" t="s">
        <v>673</v>
      </c>
      <c r="I245" s="159" t="s">
        <v>702</v>
      </c>
      <c r="J245" s="160" t="s">
        <v>55</v>
      </c>
      <c r="K245" s="221">
        <v>2836415600</v>
      </c>
      <c r="L245" s="221">
        <v>2836415600</v>
      </c>
      <c r="M245" s="275" t="str">
        <f t="shared" si="7"/>
        <v>-</v>
      </c>
      <c r="N245" s="91"/>
      <c r="O245" s="91"/>
      <c r="P245" s="91"/>
      <c r="Q245" s="91"/>
      <c r="R245" s="91"/>
      <c r="S245" s="91"/>
      <c r="T245" s="91"/>
      <c r="U245" s="91"/>
      <c r="V245" s="91"/>
    </row>
    <row r="246" spans="1:22" s="10" customFormat="1" ht="22.5">
      <c r="A246" s="192" t="s">
        <v>320</v>
      </c>
      <c r="B246" s="135" t="s">
        <v>253</v>
      </c>
      <c r="C246" s="193" t="s">
        <v>1392</v>
      </c>
      <c r="D246" s="164" t="s">
        <v>54</v>
      </c>
      <c r="E246" s="164" t="s">
        <v>1400</v>
      </c>
      <c r="F246" s="164" t="s">
        <v>828</v>
      </c>
      <c r="G246" s="164" t="s">
        <v>1392</v>
      </c>
      <c r="H246" s="194" t="s">
        <v>1394</v>
      </c>
      <c r="I246" s="164" t="s">
        <v>1395</v>
      </c>
      <c r="J246" s="165" t="s">
        <v>55</v>
      </c>
      <c r="K246" s="275">
        <f>K255+K249+K251+K247+K253</f>
        <v>387589177.56</v>
      </c>
      <c r="L246" s="275">
        <f>L255+L249+L251+L247+L253</f>
        <v>381574451.55</v>
      </c>
      <c r="M246" s="276">
        <f t="shared" si="7"/>
        <v>6014726.00999999</v>
      </c>
      <c r="N246" s="91"/>
      <c r="O246" s="91"/>
      <c r="P246" s="91"/>
      <c r="Q246" s="91"/>
      <c r="R246" s="91"/>
      <c r="S246" s="91"/>
      <c r="T246" s="91"/>
      <c r="U246" s="91"/>
      <c r="V246" s="91"/>
    </row>
    <row r="247" spans="1:22" s="10" customFormat="1" ht="15">
      <c r="A247" s="192" t="s">
        <v>1962</v>
      </c>
      <c r="B247" s="135" t="s">
        <v>253</v>
      </c>
      <c r="C247" s="193" t="s">
        <v>1392</v>
      </c>
      <c r="D247" s="164" t="s">
        <v>54</v>
      </c>
      <c r="E247" s="164" t="s">
        <v>1400</v>
      </c>
      <c r="F247" s="164" t="s">
        <v>828</v>
      </c>
      <c r="G247" s="164" t="s">
        <v>1963</v>
      </c>
      <c r="H247" s="194" t="s">
        <v>1394</v>
      </c>
      <c r="I247" s="164" t="s">
        <v>1395</v>
      </c>
      <c r="J247" s="165" t="s">
        <v>55</v>
      </c>
      <c r="K247" s="275">
        <f>K248</f>
        <v>51480000</v>
      </c>
      <c r="L247" s="275">
        <f>L248</f>
        <v>51479538.3</v>
      </c>
      <c r="M247" s="275">
        <f t="shared" si="7"/>
        <v>461.70000000298023</v>
      </c>
      <c r="N247" s="91"/>
      <c r="O247" s="91"/>
      <c r="P247" s="91"/>
      <c r="Q247" s="91"/>
      <c r="R247" s="91"/>
      <c r="S247" s="91"/>
      <c r="T247" s="91"/>
      <c r="U247" s="91"/>
      <c r="V247" s="91"/>
    </row>
    <row r="248" spans="1:22" s="10" customFormat="1" ht="22.5">
      <c r="A248" s="185" t="s">
        <v>1964</v>
      </c>
      <c r="B248" s="197" t="s">
        <v>253</v>
      </c>
      <c r="C248" s="186" t="s">
        <v>65</v>
      </c>
      <c r="D248" s="187" t="s">
        <v>54</v>
      </c>
      <c r="E248" s="187" t="s">
        <v>1400</v>
      </c>
      <c r="F248" s="187" t="s">
        <v>828</v>
      </c>
      <c r="G248" s="187" t="s">
        <v>1963</v>
      </c>
      <c r="H248" s="188" t="s">
        <v>673</v>
      </c>
      <c r="I248" s="187" t="s">
        <v>1395</v>
      </c>
      <c r="J248" s="189" t="s">
        <v>55</v>
      </c>
      <c r="K248" s="221">
        <v>51480000</v>
      </c>
      <c r="L248" s="221">
        <v>51479538.3</v>
      </c>
      <c r="M248" s="275">
        <f t="shared" si="7"/>
        <v>461.70000000298023</v>
      </c>
      <c r="N248" s="91"/>
      <c r="O248" s="91"/>
      <c r="P248" s="91"/>
      <c r="Q248" s="91"/>
      <c r="R248" s="91"/>
      <c r="S248" s="91"/>
      <c r="T248" s="91"/>
      <c r="U248" s="91"/>
      <c r="V248" s="91"/>
    </row>
    <row r="249" spans="1:22" s="259" customFormat="1" ht="22.5">
      <c r="A249" s="265" t="s">
        <v>2068</v>
      </c>
      <c r="B249" s="154" t="s">
        <v>253</v>
      </c>
      <c r="C249" s="155" t="s">
        <v>1392</v>
      </c>
      <c r="D249" s="156" t="s">
        <v>54</v>
      </c>
      <c r="E249" s="156" t="s">
        <v>1400</v>
      </c>
      <c r="F249" s="156" t="s">
        <v>1303</v>
      </c>
      <c r="G249" s="156" t="s">
        <v>2070</v>
      </c>
      <c r="H249" s="156" t="s">
        <v>1394</v>
      </c>
      <c r="I249" s="156" t="s">
        <v>1395</v>
      </c>
      <c r="J249" s="157" t="s">
        <v>55</v>
      </c>
      <c r="K249" s="275">
        <f>K250</f>
        <v>3261050.56</v>
      </c>
      <c r="L249" s="275">
        <f>L250</f>
        <v>3261050.56</v>
      </c>
      <c r="M249" s="276" t="str">
        <f t="shared" si="7"/>
        <v>-</v>
      </c>
      <c r="N249" s="285"/>
      <c r="O249" s="285"/>
      <c r="P249" s="285"/>
      <c r="Q249" s="285"/>
      <c r="R249" s="285"/>
      <c r="S249" s="285"/>
      <c r="T249" s="285"/>
      <c r="U249" s="285"/>
      <c r="V249" s="285"/>
    </row>
    <row r="250" spans="1:22" s="259" customFormat="1" ht="22.5">
      <c r="A250" s="266" t="s">
        <v>2069</v>
      </c>
      <c r="B250" s="197" t="s">
        <v>253</v>
      </c>
      <c r="C250" s="150" t="s">
        <v>1034</v>
      </c>
      <c r="D250" s="151" t="s">
        <v>54</v>
      </c>
      <c r="E250" s="151" t="s">
        <v>1400</v>
      </c>
      <c r="F250" s="151" t="s">
        <v>1303</v>
      </c>
      <c r="G250" s="151" t="s">
        <v>2070</v>
      </c>
      <c r="H250" s="151" t="s">
        <v>673</v>
      </c>
      <c r="I250" s="151" t="s">
        <v>1395</v>
      </c>
      <c r="J250" s="152" t="s">
        <v>55</v>
      </c>
      <c r="K250" s="299">
        <f>3739736.88-478686.32</f>
        <v>3261050.56</v>
      </c>
      <c r="L250" s="221">
        <v>3261050.56</v>
      </c>
      <c r="M250" s="276" t="str">
        <f t="shared" si="7"/>
        <v>-</v>
      </c>
      <c r="N250" s="285"/>
      <c r="O250" s="285"/>
      <c r="P250" s="285"/>
      <c r="Q250" s="285"/>
      <c r="R250" s="285"/>
      <c r="S250" s="285"/>
      <c r="T250" s="285"/>
      <c r="U250" s="285"/>
      <c r="V250" s="285"/>
    </row>
    <row r="251" spans="1:22" s="259" customFormat="1" ht="15">
      <c r="A251" s="267" t="s">
        <v>829</v>
      </c>
      <c r="B251" s="154" t="s">
        <v>253</v>
      </c>
      <c r="C251" s="155" t="s">
        <v>1392</v>
      </c>
      <c r="D251" s="156" t="s">
        <v>54</v>
      </c>
      <c r="E251" s="156" t="s">
        <v>1400</v>
      </c>
      <c r="F251" s="156" t="s">
        <v>1303</v>
      </c>
      <c r="G251" s="156" t="s">
        <v>830</v>
      </c>
      <c r="H251" s="156" t="s">
        <v>1394</v>
      </c>
      <c r="I251" s="156" t="s">
        <v>1395</v>
      </c>
      <c r="J251" s="157" t="s">
        <v>55</v>
      </c>
      <c r="K251" s="275">
        <f>K252</f>
        <v>379200</v>
      </c>
      <c r="L251" s="275">
        <f>L252</f>
        <v>379200</v>
      </c>
      <c r="M251" s="276" t="str">
        <f t="shared" si="7"/>
        <v>-</v>
      </c>
      <c r="N251" s="285"/>
      <c r="O251" s="285"/>
      <c r="P251" s="285"/>
      <c r="Q251" s="285"/>
      <c r="R251" s="285"/>
      <c r="S251" s="285"/>
      <c r="T251" s="285"/>
      <c r="U251" s="285"/>
      <c r="V251" s="285"/>
    </row>
    <row r="252" spans="1:22" s="259" customFormat="1" ht="15">
      <c r="A252" s="195" t="s">
        <v>831</v>
      </c>
      <c r="B252" s="144" t="s">
        <v>253</v>
      </c>
      <c r="C252" s="150" t="s">
        <v>1034</v>
      </c>
      <c r="D252" s="151" t="s">
        <v>54</v>
      </c>
      <c r="E252" s="151" t="s">
        <v>1400</v>
      </c>
      <c r="F252" s="151" t="s">
        <v>1303</v>
      </c>
      <c r="G252" s="151" t="s">
        <v>830</v>
      </c>
      <c r="H252" s="151" t="s">
        <v>673</v>
      </c>
      <c r="I252" s="151" t="s">
        <v>1395</v>
      </c>
      <c r="J252" s="152" t="s">
        <v>55</v>
      </c>
      <c r="K252" s="299">
        <f>378900+300</f>
        <v>379200</v>
      </c>
      <c r="L252" s="221">
        <v>379200</v>
      </c>
      <c r="M252" s="276" t="str">
        <f>IF(K252-L252&gt;0,K252-L252,"-")</f>
        <v>-</v>
      </c>
      <c r="N252" s="285"/>
      <c r="O252" s="285"/>
      <c r="P252" s="285"/>
      <c r="Q252" s="285"/>
      <c r="R252" s="285"/>
      <c r="S252" s="285"/>
      <c r="T252" s="285"/>
      <c r="U252" s="285"/>
      <c r="V252" s="285"/>
    </row>
    <row r="253" spans="1:22" s="10" customFormat="1" ht="33.75">
      <c r="A253" s="192" t="s">
        <v>1965</v>
      </c>
      <c r="B253" s="135" t="s">
        <v>253</v>
      </c>
      <c r="C253" s="155" t="s">
        <v>1392</v>
      </c>
      <c r="D253" s="156" t="s">
        <v>54</v>
      </c>
      <c r="E253" s="156" t="s">
        <v>1400</v>
      </c>
      <c r="F253" s="156" t="s">
        <v>1303</v>
      </c>
      <c r="G253" s="156" t="s">
        <v>1966</v>
      </c>
      <c r="H253" s="156" t="s">
        <v>1394</v>
      </c>
      <c r="I253" s="156" t="s">
        <v>1395</v>
      </c>
      <c r="J253" s="157" t="s">
        <v>55</v>
      </c>
      <c r="K253" s="275">
        <f>K254</f>
        <v>8731600</v>
      </c>
      <c r="L253" s="275">
        <f>L254</f>
        <v>8731600</v>
      </c>
      <c r="M253" s="276" t="str">
        <f>IF(K253-L253&gt;0,K253-L253,"-")</f>
        <v>-</v>
      </c>
      <c r="N253" s="91"/>
      <c r="O253" s="91"/>
      <c r="P253" s="91"/>
      <c r="Q253" s="91"/>
      <c r="R253" s="91"/>
      <c r="S253" s="91"/>
      <c r="T253" s="91"/>
      <c r="U253" s="91"/>
      <c r="V253" s="91"/>
    </row>
    <row r="254" spans="1:22" s="10" customFormat="1" ht="33.75">
      <c r="A254" s="185" t="s">
        <v>1967</v>
      </c>
      <c r="B254" s="197" t="s">
        <v>253</v>
      </c>
      <c r="C254" s="150" t="s">
        <v>65</v>
      </c>
      <c r="D254" s="151" t="s">
        <v>54</v>
      </c>
      <c r="E254" s="151" t="s">
        <v>1400</v>
      </c>
      <c r="F254" s="151" t="s">
        <v>1303</v>
      </c>
      <c r="G254" s="151" t="s">
        <v>1966</v>
      </c>
      <c r="H254" s="151" t="s">
        <v>673</v>
      </c>
      <c r="I254" s="151" t="s">
        <v>1395</v>
      </c>
      <c r="J254" s="152" t="s">
        <v>55</v>
      </c>
      <c r="K254" s="221">
        <v>8731600</v>
      </c>
      <c r="L254" s="221">
        <v>8731600</v>
      </c>
      <c r="M254" s="276" t="str">
        <f t="shared" si="7"/>
        <v>-</v>
      </c>
      <c r="N254" s="91"/>
      <c r="O254" s="91"/>
      <c r="P254" s="91"/>
      <c r="Q254" s="91"/>
      <c r="R254" s="91"/>
      <c r="S254" s="91"/>
      <c r="T254" s="91"/>
      <c r="U254" s="91"/>
      <c r="V254" s="91"/>
    </row>
    <row r="255" spans="1:22" s="10" customFormat="1" ht="15">
      <c r="A255" s="139" t="s">
        <v>104</v>
      </c>
      <c r="B255" s="135" t="s">
        <v>253</v>
      </c>
      <c r="C255" s="155" t="s">
        <v>1392</v>
      </c>
      <c r="D255" s="156" t="s">
        <v>54</v>
      </c>
      <c r="E255" s="156" t="s">
        <v>1400</v>
      </c>
      <c r="F255" s="156" t="s">
        <v>832</v>
      </c>
      <c r="G255" s="156" t="s">
        <v>730</v>
      </c>
      <c r="H255" s="156" t="s">
        <v>1394</v>
      </c>
      <c r="I255" s="156" t="s">
        <v>1395</v>
      </c>
      <c r="J255" s="157" t="s">
        <v>55</v>
      </c>
      <c r="K255" s="275">
        <f>K256</f>
        <v>323737327</v>
      </c>
      <c r="L255" s="275">
        <f>L256</f>
        <v>317723062.69</v>
      </c>
      <c r="M255" s="276">
        <f t="shared" si="7"/>
        <v>6014264.310000002</v>
      </c>
      <c r="N255" s="91"/>
      <c r="O255" s="91"/>
      <c r="P255" s="91"/>
      <c r="Q255" s="91"/>
      <c r="R255" s="91"/>
      <c r="S255" s="91"/>
      <c r="T255" s="91"/>
      <c r="U255" s="91"/>
      <c r="V255" s="91"/>
    </row>
    <row r="256" spans="1:22" s="10" customFormat="1" ht="15">
      <c r="A256" s="139" t="s">
        <v>105</v>
      </c>
      <c r="B256" s="135" t="s">
        <v>253</v>
      </c>
      <c r="C256" s="155" t="s">
        <v>1392</v>
      </c>
      <c r="D256" s="156" t="s">
        <v>54</v>
      </c>
      <c r="E256" s="156" t="s">
        <v>1400</v>
      </c>
      <c r="F256" s="156" t="s">
        <v>832</v>
      </c>
      <c r="G256" s="156" t="s">
        <v>730</v>
      </c>
      <c r="H256" s="156" t="s">
        <v>673</v>
      </c>
      <c r="I256" s="156" t="s">
        <v>1395</v>
      </c>
      <c r="J256" s="157" t="s">
        <v>55</v>
      </c>
      <c r="K256" s="275">
        <f>SUM(K257:K280)</f>
        <v>323737327</v>
      </c>
      <c r="L256" s="275">
        <f>SUM(L257:L280)</f>
        <v>317723062.69</v>
      </c>
      <c r="M256" s="276">
        <f t="shared" si="7"/>
        <v>6014264.310000002</v>
      </c>
      <c r="N256" s="91"/>
      <c r="O256" s="91"/>
      <c r="P256" s="91"/>
      <c r="Q256" s="91"/>
      <c r="R256" s="91"/>
      <c r="S256" s="91"/>
      <c r="T256" s="91"/>
      <c r="U256" s="91"/>
      <c r="V256" s="91"/>
    </row>
    <row r="257" spans="1:22" s="10" customFormat="1" ht="33.75">
      <c r="A257" s="196" t="s">
        <v>2072</v>
      </c>
      <c r="B257" s="197" t="s">
        <v>253</v>
      </c>
      <c r="C257" s="150" t="s">
        <v>328</v>
      </c>
      <c r="D257" s="151" t="s">
        <v>54</v>
      </c>
      <c r="E257" s="151" t="s">
        <v>1400</v>
      </c>
      <c r="F257" s="151" t="s">
        <v>832</v>
      </c>
      <c r="G257" s="151" t="s">
        <v>730</v>
      </c>
      <c r="H257" s="151" t="s">
        <v>673</v>
      </c>
      <c r="I257" s="151" t="s">
        <v>2071</v>
      </c>
      <c r="J257" s="152" t="s">
        <v>55</v>
      </c>
      <c r="K257" s="299">
        <f>1021000+23861700</f>
        <v>24882700</v>
      </c>
      <c r="L257" s="221">
        <v>24882700</v>
      </c>
      <c r="M257" s="276" t="str">
        <f t="shared" si="7"/>
        <v>-</v>
      </c>
      <c r="N257" s="91"/>
      <c r="O257" s="91"/>
      <c r="P257" s="91"/>
      <c r="Q257" s="91"/>
      <c r="R257" s="91"/>
      <c r="S257" s="91"/>
      <c r="T257" s="91"/>
      <c r="U257" s="91"/>
      <c r="V257" s="91"/>
    </row>
    <row r="258" spans="1:22" s="10" customFormat="1" ht="67.5">
      <c r="A258" s="196" t="s">
        <v>2165</v>
      </c>
      <c r="B258" s="197" t="s">
        <v>253</v>
      </c>
      <c r="C258" s="150" t="s">
        <v>1034</v>
      </c>
      <c r="D258" s="151" t="s">
        <v>54</v>
      </c>
      <c r="E258" s="151" t="s">
        <v>1400</v>
      </c>
      <c r="F258" s="151" t="s">
        <v>832</v>
      </c>
      <c r="G258" s="151" t="s">
        <v>730</v>
      </c>
      <c r="H258" s="151" t="s">
        <v>673</v>
      </c>
      <c r="I258" s="151" t="s">
        <v>2164</v>
      </c>
      <c r="J258" s="152" t="s">
        <v>55</v>
      </c>
      <c r="K258" s="297">
        <f>1550600+565800</f>
        <v>2116400</v>
      </c>
      <c r="L258" s="221">
        <v>2116400</v>
      </c>
      <c r="M258" s="276" t="str">
        <f t="shared" si="7"/>
        <v>-</v>
      </c>
      <c r="N258" s="91"/>
      <c r="O258" s="91"/>
      <c r="P258" s="91"/>
      <c r="Q258" s="91"/>
      <c r="R258" s="91"/>
      <c r="S258" s="91"/>
      <c r="T258" s="91"/>
      <c r="U258" s="91"/>
      <c r="V258" s="91"/>
    </row>
    <row r="259" spans="1:22" s="10" customFormat="1" ht="45">
      <c r="A259" s="196" t="s">
        <v>2251</v>
      </c>
      <c r="B259" s="197" t="s">
        <v>253</v>
      </c>
      <c r="C259" s="150" t="s">
        <v>328</v>
      </c>
      <c r="D259" s="151" t="s">
        <v>54</v>
      </c>
      <c r="E259" s="151" t="s">
        <v>1400</v>
      </c>
      <c r="F259" s="151" t="s">
        <v>832</v>
      </c>
      <c r="G259" s="151" t="s">
        <v>730</v>
      </c>
      <c r="H259" s="151" t="s">
        <v>673</v>
      </c>
      <c r="I259" s="151" t="s">
        <v>2250</v>
      </c>
      <c r="J259" s="152" t="s">
        <v>55</v>
      </c>
      <c r="K259" s="299">
        <v>32423400</v>
      </c>
      <c r="L259" s="221">
        <v>32423400</v>
      </c>
      <c r="M259" s="276" t="str">
        <f t="shared" si="7"/>
        <v>-</v>
      </c>
      <c r="N259" s="91"/>
      <c r="O259" s="91"/>
      <c r="P259" s="91"/>
      <c r="Q259" s="91"/>
      <c r="R259" s="91"/>
      <c r="S259" s="91"/>
      <c r="T259" s="91"/>
      <c r="U259" s="91"/>
      <c r="V259" s="91"/>
    </row>
    <row r="260" spans="1:22" s="10" customFormat="1" ht="45">
      <c r="A260" s="196" t="s">
        <v>2001</v>
      </c>
      <c r="B260" s="197" t="s">
        <v>253</v>
      </c>
      <c r="C260" s="150" t="s">
        <v>1034</v>
      </c>
      <c r="D260" s="151" t="s">
        <v>54</v>
      </c>
      <c r="E260" s="151" t="s">
        <v>1400</v>
      </c>
      <c r="F260" s="151" t="s">
        <v>832</v>
      </c>
      <c r="G260" s="151" t="s">
        <v>730</v>
      </c>
      <c r="H260" s="151" t="s">
        <v>673</v>
      </c>
      <c r="I260" s="151" t="s">
        <v>2000</v>
      </c>
      <c r="J260" s="152" t="s">
        <v>55</v>
      </c>
      <c r="K260" s="221">
        <v>992300</v>
      </c>
      <c r="L260" s="221">
        <v>992300</v>
      </c>
      <c r="M260" s="276" t="str">
        <f t="shared" si="7"/>
        <v>-</v>
      </c>
      <c r="N260" s="91"/>
      <c r="O260" s="91"/>
      <c r="P260" s="91"/>
      <c r="Q260" s="91"/>
      <c r="R260" s="91"/>
      <c r="S260" s="91"/>
      <c r="T260" s="91"/>
      <c r="U260" s="91"/>
      <c r="V260" s="91"/>
    </row>
    <row r="261" spans="1:22" s="10" customFormat="1" ht="45">
      <c r="A261" s="196" t="s">
        <v>1626</v>
      </c>
      <c r="B261" s="197" t="s">
        <v>253</v>
      </c>
      <c r="C261" s="150" t="s">
        <v>328</v>
      </c>
      <c r="D261" s="151" t="s">
        <v>54</v>
      </c>
      <c r="E261" s="151" t="s">
        <v>1400</v>
      </c>
      <c r="F261" s="151" t="s">
        <v>832</v>
      </c>
      <c r="G261" s="151" t="s">
        <v>730</v>
      </c>
      <c r="H261" s="151" t="s">
        <v>673</v>
      </c>
      <c r="I261" s="151" t="s">
        <v>1627</v>
      </c>
      <c r="J261" s="152" t="s">
        <v>55</v>
      </c>
      <c r="K261" s="221">
        <v>74592300</v>
      </c>
      <c r="L261" s="221">
        <v>74592300</v>
      </c>
      <c r="M261" s="276" t="str">
        <f t="shared" si="7"/>
        <v>-</v>
      </c>
      <c r="N261" s="91"/>
      <c r="O261" s="91"/>
      <c r="P261" s="91"/>
      <c r="Q261" s="91"/>
      <c r="R261" s="91"/>
      <c r="S261" s="91"/>
      <c r="T261" s="91"/>
      <c r="U261" s="91"/>
      <c r="V261" s="91"/>
    </row>
    <row r="262" spans="1:22" s="12" customFormat="1" ht="78.75">
      <c r="A262" s="196" t="s">
        <v>1968</v>
      </c>
      <c r="B262" s="197" t="s">
        <v>253</v>
      </c>
      <c r="C262" s="150" t="s">
        <v>1034</v>
      </c>
      <c r="D262" s="151" t="s">
        <v>54</v>
      </c>
      <c r="E262" s="151" t="s">
        <v>1400</v>
      </c>
      <c r="F262" s="151" t="s">
        <v>832</v>
      </c>
      <c r="G262" s="151" t="s">
        <v>730</v>
      </c>
      <c r="H262" s="151" t="s">
        <v>673</v>
      </c>
      <c r="I262" s="151" t="s">
        <v>1969</v>
      </c>
      <c r="J262" s="152" t="s">
        <v>55</v>
      </c>
      <c r="K262" s="299">
        <f>7179500+3258000+3258000</f>
        <v>13695500</v>
      </c>
      <c r="L262" s="299">
        <v>13695500</v>
      </c>
      <c r="M262" s="276" t="str">
        <f t="shared" si="7"/>
        <v>-</v>
      </c>
      <c r="N262" s="282"/>
      <c r="O262" s="282"/>
      <c r="P262" s="282"/>
      <c r="Q262" s="282"/>
      <c r="R262" s="282"/>
      <c r="S262" s="282"/>
      <c r="T262" s="282"/>
      <c r="U262" s="282"/>
      <c r="V262" s="282"/>
    </row>
    <row r="263" spans="1:22" s="12" customFormat="1" ht="33.75">
      <c r="A263" s="196" t="s">
        <v>2155</v>
      </c>
      <c r="B263" s="197" t="s">
        <v>253</v>
      </c>
      <c r="C263" s="150" t="s">
        <v>712</v>
      </c>
      <c r="D263" s="151" t="s">
        <v>54</v>
      </c>
      <c r="E263" s="151" t="s">
        <v>1400</v>
      </c>
      <c r="F263" s="151" t="s">
        <v>832</v>
      </c>
      <c r="G263" s="151" t="s">
        <v>730</v>
      </c>
      <c r="H263" s="151" t="s">
        <v>673</v>
      </c>
      <c r="I263" s="187" t="s">
        <v>2154</v>
      </c>
      <c r="J263" s="152" t="s">
        <v>55</v>
      </c>
      <c r="K263" s="221">
        <v>86400</v>
      </c>
      <c r="L263" s="221">
        <v>86400</v>
      </c>
      <c r="M263" s="276" t="str">
        <f aca="true" t="shared" si="9" ref="M263:M271">IF(K263-L263&gt;0,K263-L263,"-")</f>
        <v>-</v>
      </c>
      <c r="N263" s="282"/>
      <c r="O263" s="282"/>
      <c r="P263" s="282"/>
      <c r="Q263" s="282"/>
      <c r="R263" s="282"/>
      <c r="S263" s="282"/>
      <c r="T263" s="282"/>
      <c r="U263" s="282"/>
      <c r="V263" s="282"/>
    </row>
    <row r="264" spans="1:22" s="12" customFormat="1" ht="56.25">
      <c r="A264" s="196" t="s">
        <v>833</v>
      </c>
      <c r="B264" s="197" t="s">
        <v>253</v>
      </c>
      <c r="C264" s="150" t="s">
        <v>716</v>
      </c>
      <c r="D264" s="151" t="s">
        <v>54</v>
      </c>
      <c r="E264" s="151" t="s">
        <v>1400</v>
      </c>
      <c r="F264" s="151" t="s">
        <v>832</v>
      </c>
      <c r="G264" s="151" t="s">
        <v>730</v>
      </c>
      <c r="H264" s="151" t="s">
        <v>673</v>
      </c>
      <c r="I264" s="151" t="s">
        <v>1469</v>
      </c>
      <c r="J264" s="152" t="s">
        <v>55</v>
      </c>
      <c r="K264" s="221">
        <v>387800</v>
      </c>
      <c r="L264" s="221">
        <v>387800</v>
      </c>
      <c r="M264" s="276" t="str">
        <f t="shared" si="9"/>
        <v>-</v>
      </c>
      <c r="N264" s="282"/>
      <c r="O264" s="282"/>
      <c r="P264" s="282"/>
      <c r="Q264" s="282"/>
      <c r="R264" s="282"/>
      <c r="S264" s="282"/>
      <c r="T264" s="282"/>
      <c r="U264" s="282"/>
      <c r="V264" s="282"/>
    </row>
    <row r="265" spans="1:22" s="12" customFormat="1" ht="45">
      <c r="A265" s="196" t="s">
        <v>2163</v>
      </c>
      <c r="B265" s="197" t="s">
        <v>253</v>
      </c>
      <c r="C265" s="150" t="s">
        <v>1034</v>
      </c>
      <c r="D265" s="151" t="s">
        <v>54</v>
      </c>
      <c r="E265" s="151" t="s">
        <v>1400</v>
      </c>
      <c r="F265" s="151" t="s">
        <v>832</v>
      </c>
      <c r="G265" s="151" t="s">
        <v>730</v>
      </c>
      <c r="H265" s="151" t="s">
        <v>673</v>
      </c>
      <c r="I265" s="151" t="s">
        <v>2162</v>
      </c>
      <c r="J265" s="152" t="s">
        <v>55</v>
      </c>
      <c r="K265" s="221">
        <v>500000</v>
      </c>
      <c r="L265" s="221">
        <v>500000</v>
      </c>
      <c r="M265" s="276" t="str">
        <f t="shared" si="9"/>
        <v>-</v>
      </c>
      <c r="N265" s="282"/>
      <c r="O265" s="282"/>
      <c r="P265" s="282"/>
      <c r="Q265" s="282"/>
      <c r="R265" s="282"/>
      <c r="S265" s="282"/>
      <c r="T265" s="282"/>
      <c r="U265" s="282"/>
      <c r="V265" s="282"/>
    </row>
    <row r="266" spans="1:22" s="12" customFormat="1" ht="15.75">
      <c r="A266" s="196" t="s">
        <v>103</v>
      </c>
      <c r="B266" s="197" t="s">
        <v>253</v>
      </c>
      <c r="C266" s="186" t="s">
        <v>1034</v>
      </c>
      <c r="D266" s="187" t="s">
        <v>54</v>
      </c>
      <c r="E266" s="187" t="s">
        <v>1400</v>
      </c>
      <c r="F266" s="187" t="s">
        <v>832</v>
      </c>
      <c r="G266" s="187" t="s">
        <v>730</v>
      </c>
      <c r="H266" s="188" t="s">
        <v>673</v>
      </c>
      <c r="I266" s="187" t="s">
        <v>606</v>
      </c>
      <c r="J266" s="189" t="s">
        <v>55</v>
      </c>
      <c r="K266" s="221">
        <v>911300</v>
      </c>
      <c r="L266" s="221">
        <v>911300</v>
      </c>
      <c r="M266" s="276" t="str">
        <f t="shared" si="9"/>
        <v>-</v>
      </c>
      <c r="N266" s="282"/>
      <c r="O266" s="282"/>
      <c r="P266" s="282"/>
      <c r="Q266" s="282"/>
      <c r="R266" s="282"/>
      <c r="S266" s="282"/>
      <c r="T266" s="282"/>
      <c r="U266" s="282"/>
      <c r="V266" s="282"/>
    </row>
    <row r="267" spans="1:22" s="12" customFormat="1" ht="56.25">
      <c r="A267" s="196" t="s">
        <v>2073</v>
      </c>
      <c r="B267" s="197" t="s">
        <v>253</v>
      </c>
      <c r="C267" s="186" t="s">
        <v>65</v>
      </c>
      <c r="D267" s="187" t="s">
        <v>54</v>
      </c>
      <c r="E267" s="187" t="s">
        <v>1400</v>
      </c>
      <c r="F267" s="187" t="s">
        <v>832</v>
      </c>
      <c r="G267" s="187" t="s">
        <v>730</v>
      </c>
      <c r="H267" s="188" t="s">
        <v>673</v>
      </c>
      <c r="I267" s="187" t="s">
        <v>2074</v>
      </c>
      <c r="J267" s="189" t="s">
        <v>55</v>
      </c>
      <c r="K267" s="299">
        <f>3200000-1220000</f>
        <v>1980000</v>
      </c>
      <c r="L267" s="221">
        <v>1980000</v>
      </c>
      <c r="M267" s="276" t="str">
        <f t="shared" si="9"/>
        <v>-</v>
      </c>
      <c r="N267" s="282"/>
      <c r="O267" s="282"/>
      <c r="P267" s="282"/>
      <c r="Q267" s="282"/>
      <c r="R267" s="282"/>
      <c r="S267" s="282"/>
      <c r="T267" s="282"/>
      <c r="U267" s="282"/>
      <c r="V267" s="282"/>
    </row>
    <row r="268" spans="1:22" s="12" customFormat="1" ht="45">
      <c r="A268" s="196" t="s">
        <v>1970</v>
      </c>
      <c r="B268" s="197" t="s">
        <v>253</v>
      </c>
      <c r="C268" s="186" t="s">
        <v>1034</v>
      </c>
      <c r="D268" s="187" t="s">
        <v>54</v>
      </c>
      <c r="E268" s="187" t="s">
        <v>1400</v>
      </c>
      <c r="F268" s="187" t="s">
        <v>832</v>
      </c>
      <c r="G268" s="187" t="s">
        <v>730</v>
      </c>
      <c r="H268" s="188" t="s">
        <v>673</v>
      </c>
      <c r="I268" s="187" t="s">
        <v>1971</v>
      </c>
      <c r="J268" s="189" t="s">
        <v>55</v>
      </c>
      <c r="K268" s="221">
        <v>252900</v>
      </c>
      <c r="L268" s="221">
        <v>252900</v>
      </c>
      <c r="M268" s="276" t="str">
        <f t="shared" si="9"/>
        <v>-</v>
      </c>
      <c r="N268" s="282"/>
      <c r="O268" s="282"/>
      <c r="P268" s="282"/>
      <c r="Q268" s="282"/>
      <c r="R268" s="282"/>
      <c r="S268" s="282"/>
      <c r="T268" s="282"/>
      <c r="U268" s="282"/>
      <c r="V268" s="282"/>
    </row>
    <row r="269" spans="1:22" s="12" customFormat="1" ht="45">
      <c r="A269" s="196" t="s">
        <v>1972</v>
      </c>
      <c r="B269" s="197" t="s">
        <v>253</v>
      </c>
      <c r="C269" s="186" t="s">
        <v>1034</v>
      </c>
      <c r="D269" s="187" t="s">
        <v>54</v>
      </c>
      <c r="E269" s="187" t="s">
        <v>1400</v>
      </c>
      <c r="F269" s="187" t="s">
        <v>832</v>
      </c>
      <c r="G269" s="187" t="s">
        <v>730</v>
      </c>
      <c r="H269" s="188" t="s">
        <v>673</v>
      </c>
      <c r="I269" s="187" t="s">
        <v>1973</v>
      </c>
      <c r="J269" s="189" t="s">
        <v>55</v>
      </c>
      <c r="K269" s="221">
        <v>53611700</v>
      </c>
      <c r="L269" s="221">
        <v>53611700</v>
      </c>
      <c r="M269" s="276" t="str">
        <f t="shared" si="9"/>
        <v>-</v>
      </c>
      <c r="N269" s="282"/>
      <c r="O269" s="282"/>
      <c r="P269" s="282"/>
      <c r="Q269" s="282"/>
      <c r="R269" s="282"/>
      <c r="S269" s="282"/>
      <c r="T269" s="282"/>
      <c r="U269" s="282"/>
      <c r="V269" s="282"/>
    </row>
    <row r="270" spans="1:22" s="12" customFormat="1" ht="45">
      <c r="A270" s="196" t="s">
        <v>1974</v>
      </c>
      <c r="B270" s="197" t="s">
        <v>253</v>
      </c>
      <c r="C270" s="186" t="s">
        <v>1034</v>
      </c>
      <c r="D270" s="187" t="s">
        <v>54</v>
      </c>
      <c r="E270" s="187" t="s">
        <v>1400</v>
      </c>
      <c r="F270" s="187" t="s">
        <v>832</v>
      </c>
      <c r="G270" s="187" t="s">
        <v>730</v>
      </c>
      <c r="H270" s="188" t="s">
        <v>673</v>
      </c>
      <c r="I270" s="187" t="s">
        <v>1975</v>
      </c>
      <c r="J270" s="189" t="s">
        <v>55</v>
      </c>
      <c r="K270" s="221">
        <v>8768300</v>
      </c>
      <c r="L270" s="221">
        <v>8768300</v>
      </c>
      <c r="M270" s="276" t="str">
        <f>IF(K270-L270&gt;0,K270-L270,"-")</f>
        <v>-</v>
      </c>
      <c r="N270" s="282"/>
      <c r="O270" s="282"/>
      <c r="P270" s="282"/>
      <c r="Q270" s="282"/>
      <c r="R270" s="282"/>
      <c r="S270" s="282"/>
      <c r="T270" s="282"/>
      <c r="U270" s="282"/>
      <c r="V270" s="282"/>
    </row>
    <row r="271" spans="1:22" s="12" customFormat="1" ht="33.75">
      <c r="A271" s="198" t="s">
        <v>1628</v>
      </c>
      <c r="B271" s="197" t="s">
        <v>253</v>
      </c>
      <c r="C271" s="150" t="s">
        <v>65</v>
      </c>
      <c r="D271" s="151" t="s">
        <v>54</v>
      </c>
      <c r="E271" s="151" t="s">
        <v>1400</v>
      </c>
      <c r="F271" s="151" t="s">
        <v>832</v>
      </c>
      <c r="G271" s="151" t="s">
        <v>730</v>
      </c>
      <c r="H271" s="151" t="s">
        <v>673</v>
      </c>
      <c r="I271" s="187" t="s">
        <v>586</v>
      </c>
      <c r="J271" s="152" t="s">
        <v>55</v>
      </c>
      <c r="K271" s="221">
        <v>52500000</v>
      </c>
      <c r="L271" s="221">
        <v>52500000</v>
      </c>
      <c r="M271" s="276" t="str">
        <f t="shared" si="9"/>
        <v>-</v>
      </c>
      <c r="N271" s="282"/>
      <c r="O271" s="282"/>
      <c r="P271" s="282"/>
      <c r="Q271" s="282"/>
      <c r="R271" s="282"/>
      <c r="S271" s="282"/>
      <c r="T271" s="282"/>
      <c r="U271" s="282"/>
      <c r="V271" s="282"/>
    </row>
    <row r="272" spans="1:22" s="10" customFormat="1" ht="33.75">
      <c r="A272" s="261" t="s">
        <v>1628</v>
      </c>
      <c r="B272" s="197" t="s">
        <v>253</v>
      </c>
      <c r="C272" s="150" t="s">
        <v>712</v>
      </c>
      <c r="D272" s="151" t="s">
        <v>54</v>
      </c>
      <c r="E272" s="151" t="s">
        <v>1400</v>
      </c>
      <c r="F272" s="151" t="s">
        <v>832</v>
      </c>
      <c r="G272" s="151" t="s">
        <v>730</v>
      </c>
      <c r="H272" s="151" t="s">
        <v>673</v>
      </c>
      <c r="I272" s="187" t="s">
        <v>586</v>
      </c>
      <c r="J272" s="152" t="s">
        <v>55</v>
      </c>
      <c r="K272" s="221">
        <v>2300800</v>
      </c>
      <c r="L272" s="221">
        <v>2300780.07</v>
      </c>
      <c r="M272" s="275">
        <f t="shared" si="7"/>
        <v>19.930000000167638</v>
      </c>
      <c r="N272" s="91"/>
      <c r="O272" s="91"/>
      <c r="P272" s="91"/>
      <c r="Q272" s="91"/>
      <c r="R272" s="91"/>
      <c r="S272" s="91"/>
      <c r="T272" s="91"/>
      <c r="U272" s="91"/>
      <c r="V272" s="91"/>
    </row>
    <row r="273" spans="1:22" s="10" customFormat="1" ht="112.5">
      <c r="A273" s="261" t="s">
        <v>2166</v>
      </c>
      <c r="B273" s="197" t="s">
        <v>253</v>
      </c>
      <c r="C273" s="150" t="s">
        <v>65</v>
      </c>
      <c r="D273" s="151" t="s">
        <v>54</v>
      </c>
      <c r="E273" s="151" t="s">
        <v>1400</v>
      </c>
      <c r="F273" s="151" t="s">
        <v>832</v>
      </c>
      <c r="G273" s="151" t="s">
        <v>730</v>
      </c>
      <c r="H273" s="151" t="s">
        <v>673</v>
      </c>
      <c r="I273" s="187" t="s">
        <v>2078</v>
      </c>
      <c r="J273" s="152" t="s">
        <v>55</v>
      </c>
      <c r="K273" s="221">
        <v>8600000</v>
      </c>
      <c r="L273" s="221">
        <v>8600000</v>
      </c>
      <c r="M273" s="275" t="str">
        <f t="shared" si="7"/>
        <v>-</v>
      </c>
      <c r="N273" s="91"/>
      <c r="O273" s="91"/>
      <c r="P273" s="91"/>
      <c r="Q273" s="91"/>
      <c r="R273" s="91"/>
      <c r="S273" s="91"/>
      <c r="T273" s="91"/>
      <c r="U273" s="91"/>
      <c r="V273" s="91"/>
    </row>
    <row r="274" spans="1:22" s="12" customFormat="1" ht="90">
      <c r="A274" s="261" t="s">
        <v>2361</v>
      </c>
      <c r="B274" s="197" t="s">
        <v>253</v>
      </c>
      <c r="C274" s="150" t="s">
        <v>65</v>
      </c>
      <c r="D274" s="151" t="s">
        <v>54</v>
      </c>
      <c r="E274" s="151" t="s">
        <v>1400</v>
      </c>
      <c r="F274" s="151" t="s">
        <v>832</v>
      </c>
      <c r="G274" s="151" t="s">
        <v>730</v>
      </c>
      <c r="H274" s="151" t="s">
        <v>673</v>
      </c>
      <c r="I274" s="187" t="s">
        <v>2362</v>
      </c>
      <c r="J274" s="152" t="s">
        <v>55</v>
      </c>
      <c r="K274" s="299">
        <v>17955500</v>
      </c>
      <c r="L274" s="299">
        <v>12840300</v>
      </c>
      <c r="M274" s="276">
        <f t="shared" si="7"/>
        <v>5115200</v>
      </c>
      <c r="N274" s="282"/>
      <c r="O274" s="282"/>
      <c r="P274" s="282"/>
      <c r="Q274" s="282"/>
      <c r="R274" s="282"/>
      <c r="S274" s="282"/>
      <c r="T274" s="282"/>
      <c r="U274" s="282"/>
      <c r="V274" s="282"/>
    </row>
    <row r="275" spans="1:22" s="10" customFormat="1" ht="45">
      <c r="A275" s="261" t="s">
        <v>2075</v>
      </c>
      <c r="B275" s="197" t="s">
        <v>253</v>
      </c>
      <c r="C275" s="150" t="s">
        <v>65</v>
      </c>
      <c r="D275" s="151" t="s">
        <v>54</v>
      </c>
      <c r="E275" s="151" t="s">
        <v>1400</v>
      </c>
      <c r="F275" s="151" t="s">
        <v>832</v>
      </c>
      <c r="G275" s="151" t="s">
        <v>730</v>
      </c>
      <c r="H275" s="151" t="s">
        <v>673</v>
      </c>
      <c r="I275" s="187" t="s">
        <v>2079</v>
      </c>
      <c r="J275" s="152" t="s">
        <v>55</v>
      </c>
      <c r="K275" s="221">
        <v>8496800</v>
      </c>
      <c r="L275" s="221">
        <v>8496800</v>
      </c>
      <c r="M275" s="276" t="str">
        <f t="shared" si="7"/>
        <v>-</v>
      </c>
      <c r="N275" s="91"/>
      <c r="O275" s="91"/>
      <c r="P275" s="91"/>
      <c r="Q275" s="91"/>
      <c r="R275" s="91"/>
      <c r="S275" s="91"/>
      <c r="T275" s="91"/>
      <c r="U275" s="91"/>
      <c r="V275" s="91"/>
    </row>
    <row r="276" spans="1:22" s="10" customFormat="1" ht="56.25">
      <c r="A276" s="261" t="s">
        <v>2161</v>
      </c>
      <c r="B276" s="197" t="s">
        <v>253</v>
      </c>
      <c r="C276" s="150" t="s">
        <v>66</v>
      </c>
      <c r="D276" s="151" t="s">
        <v>54</v>
      </c>
      <c r="E276" s="151" t="s">
        <v>1400</v>
      </c>
      <c r="F276" s="151" t="s">
        <v>832</v>
      </c>
      <c r="G276" s="151" t="s">
        <v>730</v>
      </c>
      <c r="H276" s="151" t="s">
        <v>673</v>
      </c>
      <c r="I276" s="187" t="s">
        <v>2160</v>
      </c>
      <c r="J276" s="152" t="s">
        <v>55</v>
      </c>
      <c r="K276" s="221">
        <v>1581800</v>
      </c>
      <c r="L276" s="221">
        <v>1564939.5</v>
      </c>
      <c r="M276" s="276">
        <f t="shared" si="7"/>
        <v>16860.5</v>
      </c>
      <c r="N276" s="91"/>
      <c r="O276" s="91"/>
      <c r="P276" s="91"/>
      <c r="Q276" s="91"/>
      <c r="R276" s="91"/>
      <c r="S276" s="91"/>
      <c r="T276" s="91"/>
      <c r="U276" s="91"/>
      <c r="V276" s="91"/>
    </row>
    <row r="277" spans="1:22" s="10" customFormat="1" ht="45">
      <c r="A277" s="261" t="s">
        <v>2156</v>
      </c>
      <c r="B277" s="197" t="s">
        <v>253</v>
      </c>
      <c r="C277" s="150" t="s">
        <v>1034</v>
      </c>
      <c r="D277" s="151" t="s">
        <v>54</v>
      </c>
      <c r="E277" s="151" t="s">
        <v>1400</v>
      </c>
      <c r="F277" s="151" t="s">
        <v>832</v>
      </c>
      <c r="G277" s="151" t="s">
        <v>730</v>
      </c>
      <c r="H277" s="151" t="s">
        <v>673</v>
      </c>
      <c r="I277" s="187" t="s">
        <v>2157</v>
      </c>
      <c r="J277" s="152" t="s">
        <v>55</v>
      </c>
      <c r="K277" s="221">
        <v>6491500</v>
      </c>
      <c r="L277" s="221">
        <v>6491500</v>
      </c>
      <c r="M277" s="276" t="str">
        <f aca="true" t="shared" si="10" ref="M277:M339">IF(K277-L277&gt;0,K277-L277,"-")</f>
        <v>-</v>
      </c>
      <c r="N277" s="91"/>
      <c r="O277" s="91"/>
      <c r="P277" s="91"/>
      <c r="Q277" s="91"/>
      <c r="R277" s="91"/>
      <c r="S277" s="91"/>
      <c r="T277" s="91"/>
      <c r="U277" s="91"/>
      <c r="V277" s="91"/>
    </row>
    <row r="278" spans="1:22" s="10" customFormat="1" ht="45">
      <c r="A278" s="261" t="s">
        <v>2076</v>
      </c>
      <c r="B278" s="197" t="s">
        <v>253</v>
      </c>
      <c r="C278" s="150" t="s">
        <v>1034</v>
      </c>
      <c r="D278" s="151" t="s">
        <v>54</v>
      </c>
      <c r="E278" s="151" t="s">
        <v>1400</v>
      </c>
      <c r="F278" s="151" t="s">
        <v>832</v>
      </c>
      <c r="G278" s="151" t="s">
        <v>730</v>
      </c>
      <c r="H278" s="151" t="s">
        <v>673</v>
      </c>
      <c r="I278" s="187" t="s">
        <v>2080</v>
      </c>
      <c r="J278" s="152" t="s">
        <v>55</v>
      </c>
      <c r="K278" s="221">
        <v>7016300</v>
      </c>
      <c r="L278" s="221">
        <v>6134157.01</v>
      </c>
      <c r="M278" s="276">
        <f>IF(K278-L278&gt;0,K278-L278,"-")</f>
        <v>882142.9900000002</v>
      </c>
      <c r="N278" s="91"/>
      <c r="O278" s="91"/>
      <c r="P278" s="91"/>
      <c r="Q278" s="91"/>
      <c r="R278" s="91"/>
      <c r="S278" s="91"/>
      <c r="T278" s="91"/>
      <c r="U278" s="91"/>
      <c r="V278" s="91"/>
    </row>
    <row r="279" spans="1:22" s="10" customFormat="1" ht="56.25">
      <c r="A279" s="261" t="s">
        <v>2159</v>
      </c>
      <c r="B279" s="197" t="s">
        <v>253</v>
      </c>
      <c r="C279" s="150" t="s">
        <v>65</v>
      </c>
      <c r="D279" s="151" t="s">
        <v>54</v>
      </c>
      <c r="E279" s="151" t="s">
        <v>1400</v>
      </c>
      <c r="F279" s="151" t="s">
        <v>832</v>
      </c>
      <c r="G279" s="151" t="s">
        <v>730</v>
      </c>
      <c r="H279" s="151" t="s">
        <v>673</v>
      </c>
      <c r="I279" s="187" t="s">
        <v>2158</v>
      </c>
      <c r="J279" s="152" t="s">
        <v>55</v>
      </c>
      <c r="K279" s="221">
        <v>1645027</v>
      </c>
      <c r="L279" s="221">
        <v>1645027</v>
      </c>
      <c r="M279" s="276" t="str">
        <f>IF(K279-L279&gt;0,K279-L279,"-")</f>
        <v>-</v>
      </c>
      <c r="N279" s="91"/>
      <c r="O279" s="91"/>
      <c r="P279" s="91"/>
      <c r="Q279" s="91"/>
      <c r="R279" s="91"/>
      <c r="S279" s="91"/>
      <c r="T279" s="91"/>
      <c r="U279" s="91"/>
      <c r="V279" s="91"/>
    </row>
    <row r="280" spans="1:22" s="10" customFormat="1" ht="67.5">
      <c r="A280" s="261" t="s">
        <v>2077</v>
      </c>
      <c r="B280" s="197" t="s">
        <v>253</v>
      </c>
      <c r="C280" s="150" t="s">
        <v>712</v>
      </c>
      <c r="D280" s="151" t="s">
        <v>54</v>
      </c>
      <c r="E280" s="151" t="s">
        <v>1400</v>
      </c>
      <c r="F280" s="151" t="s">
        <v>832</v>
      </c>
      <c r="G280" s="151" t="s">
        <v>730</v>
      </c>
      <c r="H280" s="151" t="s">
        <v>673</v>
      </c>
      <c r="I280" s="187" t="s">
        <v>2081</v>
      </c>
      <c r="J280" s="152" t="s">
        <v>55</v>
      </c>
      <c r="K280" s="299">
        <f>2537800-589200</f>
        <v>1948600</v>
      </c>
      <c r="L280" s="221">
        <v>1948559.11</v>
      </c>
      <c r="M280" s="276">
        <f>IF(K280-L280&gt;0,K280-L280,"-")</f>
        <v>40.889999999897555</v>
      </c>
      <c r="N280" s="91"/>
      <c r="O280" s="91"/>
      <c r="P280" s="91"/>
      <c r="Q280" s="91"/>
      <c r="R280" s="91"/>
      <c r="S280" s="91"/>
      <c r="T280" s="91"/>
      <c r="U280" s="91"/>
      <c r="V280" s="91"/>
    </row>
    <row r="281" spans="1:22" s="10" customFormat="1" ht="15">
      <c r="A281" s="262" t="s">
        <v>926</v>
      </c>
      <c r="B281" s="154" t="s">
        <v>253</v>
      </c>
      <c r="C281" s="210" t="s">
        <v>1392</v>
      </c>
      <c r="D281" s="211" t="s">
        <v>54</v>
      </c>
      <c r="E281" s="211" t="s">
        <v>1400</v>
      </c>
      <c r="F281" s="211" t="s">
        <v>246</v>
      </c>
      <c r="G281" s="211" t="s">
        <v>1392</v>
      </c>
      <c r="H281" s="212" t="s">
        <v>1394</v>
      </c>
      <c r="I281" s="211" t="s">
        <v>1395</v>
      </c>
      <c r="J281" s="213" t="s">
        <v>55</v>
      </c>
      <c r="K281" s="275">
        <f>K346+K342+K282+K338+K340+K344</f>
        <v>3788544028.11</v>
      </c>
      <c r="L281" s="275">
        <f>L346+L342+L282+L338+L340+L344</f>
        <v>3703962548.55</v>
      </c>
      <c r="M281" s="276">
        <f>IF(K281-L281&gt;0,K281-L281,"-")</f>
        <v>84581479.55999994</v>
      </c>
      <c r="N281" s="91"/>
      <c r="O281" s="91"/>
      <c r="P281" s="91"/>
      <c r="Q281" s="91"/>
      <c r="R281" s="91"/>
      <c r="S281" s="91"/>
      <c r="T281" s="91"/>
      <c r="U281" s="91"/>
      <c r="V281" s="91"/>
    </row>
    <row r="282" spans="1:22" s="10" customFormat="1" ht="22.5">
      <c r="A282" s="263" t="s">
        <v>321</v>
      </c>
      <c r="B282" s="154" t="s">
        <v>253</v>
      </c>
      <c r="C282" s="210" t="s">
        <v>1392</v>
      </c>
      <c r="D282" s="211" t="s">
        <v>54</v>
      </c>
      <c r="E282" s="211" t="s">
        <v>1400</v>
      </c>
      <c r="F282" s="211" t="s">
        <v>246</v>
      </c>
      <c r="G282" s="211" t="s">
        <v>1356</v>
      </c>
      <c r="H282" s="212" t="s">
        <v>1394</v>
      </c>
      <c r="I282" s="211" t="s">
        <v>1395</v>
      </c>
      <c r="J282" s="213" t="s">
        <v>55</v>
      </c>
      <c r="K282" s="275">
        <f>K283</f>
        <v>3752000152.52</v>
      </c>
      <c r="L282" s="275">
        <f>L283</f>
        <v>3668988002.1000004</v>
      </c>
      <c r="M282" s="276">
        <f t="shared" si="10"/>
        <v>83012150.4199996</v>
      </c>
      <c r="N282" s="91"/>
      <c r="O282" s="91"/>
      <c r="P282" s="91"/>
      <c r="Q282" s="91"/>
      <c r="R282" s="91"/>
      <c r="S282" s="91"/>
      <c r="T282" s="91"/>
      <c r="U282" s="91"/>
      <c r="V282" s="91"/>
    </row>
    <row r="283" spans="1:22" s="10" customFormat="1" ht="22.5">
      <c r="A283" s="264" t="s">
        <v>1386</v>
      </c>
      <c r="B283" s="197" t="s">
        <v>253</v>
      </c>
      <c r="C283" s="186" t="s">
        <v>1392</v>
      </c>
      <c r="D283" s="187" t="s">
        <v>54</v>
      </c>
      <c r="E283" s="187" t="s">
        <v>1400</v>
      </c>
      <c r="F283" s="187" t="s">
        <v>246</v>
      </c>
      <c r="G283" s="187" t="s">
        <v>1356</v>
      </c>
      <c r="H283" s="188" t="s">
        <v>673</v>
      </c>
      <c r="I283" s="187" t="s">
        <v>1395</v>
      </c>
      <c r="J283" s="189" t="s">
        <v>55</v>
      </c>
      <c r="K283" s="276">
        <f>SUM(K284:K337)</f>
        <v>3752000152.52</v>
      </c>
      <c r="L283" s="276">
        <f>SUM(L284:L337)</f>
        <v>3668988002.1000004</v>
      </c>
      <c r="M283" s="276">
        <f t="shared" si="10"/>
        <v>83012150.4199996</v>
      </c>
      <c r="N283" s="91"/>
      <c r="O283" s="91"/>
      <c r="P283" s="91"/>
      <c r="Q283" s="91"/>
      <c r="R283" s="91"/>
      <c r="S283" s="91"/>
      <c r="T283" s="91"/>
      <c r="U283" s="91"/>
      <c r="V283" s="91"/>
    </row>
    <row r="284" spans="1:22" s="10" customFormat="1" ht="33.75">
      <c r="A284" s="264" t="s">
        <v>2363</v>
      </c>
      <c r="B284" s="197"/>
      <c r="C284" s="186" t="s">
        <v>714</v>
      </c>
      <c r="D284" s="187" t="s">
        <v>54</v>
      </c>
      <c r="E284" s="187" t="s">
        <v>1400</v>
      </c>
      <c r="F284" s="187" t="s">
        <v>246</v>
      </c>
      <c r="G284" s="187" t="s">
        <v>1356</v>
      </c>
      <c r="H284" s="188" t="s">
        <v>673</v>
      </c>
      <c r="I284" s="187" t="s">
        <v>2364</v>
      </c>
      <c r="J284" s="189" t="s">
        <v>55</v>
      </c>
      <c r="K284" s="299">
        <v>618500</v>
      </c>
      <c r="L284" s="299">
        <v>618500</v>
      </c>
      <c r="M284" s="276" t="str">
        <f t="shared" si="10"/>
        <v>-</v>
      </c>
      <c r="N284" s="91"/>
      <c r="O284" s="91"/>
      <c r="P284" s="91"/>
      <c r="Q284" s="91"/>
      <c r="R284" s="91"/>
      <c r="S284" s="91"/>
      <c r="T284" s="91"/>
      <c r="U284" s="91"/>
      <c r="V284" s="91"/>
    </row>
    <row r="285" spans="1:22" s="10" customFormat="1" ht="33.75">
      <c r="A285" s="198" t="s">
        <v>2365</v>
      </c>
      <c r="B285" s="197" t="s">
        <v>253</v>
      </c>
      <c r="C285" s="186" t="s">
        <v>715</v>
      </c>
      <c r="D285" s="187" t="s">
        <v>54</v>
      </c>
      <c r="E285" s="187" t="s">
        <v>1400</v>
      </c>
      <c r="F285" s="187" t="s">
        <v>246</v>
      </c>
      <c r="G285" s="187" t="s">
        <v>1356</v>
      </c>
      <c r="H285" s="188" t="s">
        <v>673</v>
      </c>
      <c r="I285" s="187" t="s">
        <v>636</v>
      </c>
      <c r="J285" s="189" t="s">
        <v>55</v>
      </c>
      <c r="K285" s="297">
        <f>118899980+2840300+542391.75+60000+5974750+321210</f>
        <v>128638631.75</v>
      </c>
      <c r="L285" s="221">
        <v>128638631.75</v>
      </c>
      <c r="M285" s="276" t="str">
        <f t="shared" si="10"/>
        <v>-</v>
      </c>
      <c r="N285" s="91"/>
      <c r="O285" s="91"/>
      <c r="P285" s="91"/>
      <c r="Q285" s="91"/>
      <c r="R285" s="91"/>
      <c r="S285" s="91"/>
      <c r="T285" s="91"/>
      <c r="U285" s="91"/>
      <c r="V285" s="91"/>
    </row>
    <row r="286" spans="1:22" s="10" customFormat="1" ht="67.5">
      <c r="A286" s="199" t="s">
        <v>1380</v>
      </c>
      <c r="B286" s="197" t="s">
        <v>253</v>
      </c>
      <c r="C286" s="186" t="s">
        <v>715</v>
      </c>
      <c r="D286" s="187" t="s">
        <v>54</v>
      </c>
      <c r="E286" s="187" t="s">
        <v>1400</v>
      </c>
      <c r="F286" s="187" t="s">
        <v>246</v>
      </c>
      <c r="G286" s="187" t="s">
        <v>1356</v>
      </c>
      <c r="H286" s="188" t="s">
        <v>673</v>
      </c>
      <c r="I286" s="187" t="s">
        <v>659</v>
      </c>
      <c r="J286" s="189" t="s">
        <v>55</v>
      </c>
      <c r="K286" s="299">
        <f>1401400+1198760+301300</f>
        <v>2901460</v>
      </c>
      <c r="L286" s="221">
        <v>2303900</v>
      </c>
      <c r="M286" s="276">
        <f t="shared" si="10"/>
        <v>597560</v>
      </c>
      <c r="N286" s="91"/>
      <c r="O286" s="91"/>
      <c r="P286" s="91"/>
      <c r="Q286" s="91"/>
      <c r="R286" s="91"/>
      <c r="S286" s="91"/>
      <c r="T286" s="91"/>
      <c r="U286" s="91"/>
      <c r="V286" s="91"/>
    </row>
    <row r="287" spans="1:22" s="10" customFormat="1" ht="33.75">
      <c r="A287" s="199" t="s">
        <v>1381</v>
      </c>
      <c r="B287" s="197" t="s">
        <v>253</v>
      </c>
      <c r="C287" s="186" t="s">
        <v>715</v>
      </c>
      <c r="D287" s="187" t="s">
        <v>54</v>
      </c>
      <c r="E287" s="187" t="s">
        <v>1400</v>
      </c>
      <c r="F287" s="187" t="s">
        <v>246</v>
      </c>
      <c r="G287" s="187" t="s">
        <v>1356</v>
      </c>
      <c r="H287" s="188" t="s">
        <v>673</v>
      </c>
      <c r="I287" s="187" t="s">
        <v>1382</v>
      </c>
      <c r="J287" s="189" t="s">
        <v>55</v>
      </c>
      <c r="K287" s="221">
        <v>368300</v>
      </c>
      <c r="L287" s="221">
        <v>368300</v>
      </c>
      <c r="M287" s="276" t="str">
        <f t="shared" si="10"/>
        <v>-</v>
      </c>
      <c r="N287" s="91"/>
      <c r="O287" s="91"/>
      <c r="P287" s="91"/>
      <c r="Q287" s="91"/>
      <c r="R287" s="91"/>
      <c r="S287" s="91"/>
      <c r="T287" s="91"/>
      <c r="U287" s="91"/>
      <c r="V287" s="91"/>
    </row>
    <row r="288" spans="1:22" s="10" customFormat="1" ht="45">
      <c r="A288" s="199" t="s">
        <v>1233</v>
      </c>
      <c r="B288" s="197" t="s">
        <v>253</v>
      </c>
      <c r="C288" s="186" t="s">
        <v>715</v>
      </c>
      <c r="D288" s="187" t="s">
        <v>54</v>
      </c>
      <c r="E288" s="187" t="s">
        <v>1400</v>
      </c>
      <c r="F288" s="187" t="s">
        <v>246</v>
      </c>
      <c r="G288" s="187" t="s">
        <v>1356</v>
      </c>
      <c r="H288" s="188" t="s">
        <v>673</v>
      </c>
      <c r="I288" s="187" t="s">
        <v>1234</v>
      </c>
      <c r="J288" s="189" t="s">
        <v>55</v>
      </c>
      <c r="K288" s="299">
        <f>72535000-19532100</f>
        <v>53002900</v>
      </c>
      <c r="L288" s="221">
        <v>52321267.89</v>
      </c>
      <c r="M288" s="276">
        <f t="shared" si="10"/>
        <v>681632.1099999994</v>
      </c>
      <c r="N288" s="91"/>
      <c r="O288" s="91"/>
      <c r="P288" s="91"/>
      <c r="Q288" s="91"/>
      <c r="R288" s="91"/>
      <c r="S288" s="91"/>
      <c r="T288" s="91"/>
      <c r="U288" s="91"/>
      <c r="V288" s="91"/>
    </row>
    <row r="289" spans="1:22" s="10" customFormat="1" ht="33.75">
      <c r="A289" s="198" t="s">
        <v>1629</v>
      </c>
      <c r="B289" s="197" t="s">
        <v>253</v>
      </c>
      <c r="C289" s="186" t="s">
        <v>66</v>
      </c>
      <c r="D289" s="187" t="s">
        <v>54</v>
      </c>
      <c r="E289" s="187" t="s">
        <v>1400</v>
      </c>
      <c r="F289" s="187" t="s">
        <v>246</v>
      </c>
      <c r="G289" s="187" t="s">
        <v>1356</v>
      </c>
      <c r="H289" s="188" t="s">
        <v>673</v>
      </c>
      <c r="I289" s="187" t="s">
        <v>1235</v>
      </c>
      <c r="J289" s="189" t="s">
        <v>55</v>
      </c>
      <c r="K289" s="297">
        <f>500000000+71644800</f>
        <v>571644800</v>
      </c>
      <c r="L289" s="221">
        <v>571644708.2</v>
      </c>
      <c r="M289" s="276">
        <f t="shared" si="10"/>
        <v>91.79999995231628</v>
      </c>
      <c r="N289" s="91"/>
      <c r="O289" s="91"/>
      <c r="P289" s="91"/>
      <c r="Q289" s="91"/>
      <c r="R289" s="91"/>
      <c r="S289" s="91"/>
      <c r="T289" s="91"/>
      <c r="U289" s="91"/>
      <c r="V289" s="91"/>
    </row>
    <row r="290" spans="1:22" s="10" customFormat="1" ht="67.5">
      <c r="A290" s="199" t="s">
        <v>834</v>
      </c>
      <c r="B290" s="197" t="s">
        <v>253</v>
      </c>
      <c r="C290" s="186" t="s">
        <v>712</v>
      </c>
      <c r="D290" s="187" t="s">
        <v>54</v>
      </c>
      <c r="E290" s="187" t="s">
        <v>1400</v>
      </c>
      <c r="F290" s="187" t="s">
        <v>246</v>
      </c>
      <c r="G290" s="187" t="s">
        <v>1356</v>
      </c>
      <c r="H290" s="188" t="s">
        <v>673</v>
      </c>
      <c r="I290" s="187" t="s">
        <v>1236</v>
      </c>
      <c r="J290" s="189" t="s">
        <v>55</v>
      </c>
      <c r="K290" s="221">
        <v>1530300</v>
      </c>
      <c r="L290" s="221">
        <v>1530300</v>
      </c>
      <c r="M290" s="276" t="str">
        <f t="shared" si="10"/>
        <v>-</v>
      </c>
      <c r="N290" s="91"/>
      <c r="O290" s="91"/>
      <c r="P290" s="91"/>
      <c r="Q290" s="91"/>
      <c r="R290" s="91"/>
      <c r="S290" s="91"/>
      <c r="T290" s="91"/>
      <c r="U290" s="91"/>
      <c r="V290" s="91"/>
    </row>
    <row r="291" spans="1:22" s="10" customFormat="1" ht="101.25">
      <c r="A291" s="199" t="s">
        <v>1630</v>
      </c>
      <c r="B291" s="197" t="s">
        <v>253</v>
      </c>
      <c r="C291" s="186" t="s">
        <v>712</v>
      </c>
      <c r="D291" s="187" t="s">
        <v>54</v>
      </c>
      <c r="E291" s="187" t="s">
        <v>1400</v>
      </c>
      <c r="F291" s="187" t="s">
        <v>246</v>
      </c>
      <c r="G291" s="187" t="s">
        <v>1356</v>
      </c>
      <c r="H291" s="188" t="s">
        <v>673</v>
      </c>
      <c r="I291" s="187" t="s">
        <v>1237</v>
      </c>
      <c r="J291" s="189" t="s">
        <v>55</v>
      </c>
      <c r="K291" s="299">
        <f>36500-32400</f>
        <v>4100</v>
      </c>
      <c r="L291" s="221">
        <v>4056</v>
      </c>
      <c r="M291" s="276">
        <f t="shared" si="10"/>
        <v>44</v>
      </c>
      <c r="N291" s="91"/>
      <c r="O291" s="91"/>
      <c r="P291" s="91"/>
      <c r="Q291" s="91"/>
      <c r="R291" s="91"/>
      <c r="S291" s="91"/>
      <c r="T291" s="91"/>
      <c r="U291" s="91"/>
      <c r="V291" s="91"/>
    </row>
    <row r="292" spans="1:22" s="10" customFormat="1" ht="56.25">
      <c r="A292" s="199" t="s">
        <v>1631</v>
      </c>
      <c r="B292" s="197" t="s">
        <v>253</v>
      </c>
      <c r="C292" s="186" t="s">
        <v>712</v>
      </c>
      <c r="D292" s="187" t="s">
        <v>54</v>
      </c>
      <c r="E292" s="187" t="s">
        <v>1400</v>
      </c>
      <c r="F292" s="187" t="s">
        <v>246</v>
      </c>
      <c r="G292" s="187" t="s">
        <v>1356</v>
      </c>
      <c r="H292" s="188" t="s">
        <v>673</v>
      </c>
      <c r="I292" s="187" t="s">
        <v>1238</v>
      </c>
      <c r="J292" s="189" t="s">
        <v>55</v>
      </c>
      <c r="K292" s="299">
        <f>3344300-1000000</f>
        <v>2344300</v>
      </c>
      <c r="L292" s="221">
        <v>2344300</v>
      </c>
      <c r="M292" s="281" t="str">
        <f t="shared" si="10"/>
        <v>-</v>
      </c>
      <c r="N292" s="91"/>
      <c r="O292" s="91"/>
      <c r="P292" s="91"/>
      <c r="Q292" s="91"/>
      <c r="R292" s="91"/>
      <c r="S292" s="91"/>
      <c r="T292" s="91"/>
      <c r="U292" s="91"/>
      <c r="V292" s="91"/>
    </row>
    <row r="293" spans="1:22" s="10" customFormat="1" ht="67.5">
      <c r="A293" s="199" t="s">
        <v>1632</v>
      </c>
      <c r="B293" s="197" t="s">
        <v>253</v>
      </c>
      <c r="C293" s="186" t="s">
        <v>712</v>
      </c>
      <c r="D293" s="187" t="s">
        <v>54</v>
      </c>
      <c r="E293" s="187" t="s">
        <v>1400</v>
      </c>
      <c r="F293" s="187" t="s">
        <v>246</v>
      </c>
      <c r="G293" s="187" t="s">
        <v>1356</v>
      </c>
      <c r="H293" s="188" t="s">
        <v>673</v>
      </c>
      <c r="I293" s="187" t="s">
        <v>1239</v>
      </c>
      <c r="J293" s="189" t="s">
        <v>55</v>
      </c>
      <c r="K293" s="221">
        <v>19543300</v>
      </c>
      <c r="L293" s="221">
        <v>18819468.72</v>
      </c>
      <c r="M293" s="281">
        <f t="shared" si="10"/>
        <v>723831.2800000012</v>
      </c>
      <c r="N293" s="91"/>
      <c r="O293" s="91"/>
      <c r="P293" s="91"/>
      <c r="Q293" s="91"/>
      <c r="R293" s="91"/>
      <c r="S293" s="91"/>
      <c r="T293" s="91"/>
      <c r="U293" s="91"/>
      <c r="V293" s="91"/>
    </row>
    <row r="294" spans="1:22" s="10" customFormat="1" ht="123.75">
      <c r="A294" s="199" t="s">
        <v>1633</v>
      </c>
      <c r="B294" s="197" t="s">
        <v>253</v>
      </c>
      <c r="C294" s="186" t="s">
        <v>712</v>
      </c>
      <c r="D294" s="187" t="s">
        <v>54</v>
      </c>
      <c r="E294" s="187" t="s">
        <v>1400</v>
      </c>
      <c r="F294" s="187" t="s">
        <v>246</v>
      </c>
      <c r="G294" s="187" t="s">
        <v>1356</v>
      </c>
      <c r="H294" s="188" t="s">
        <v>673</v>
      </c>
      <c r="I294" s="187" t="s">
        <v>1240</v>
      </c>
      <c r="J294" s="189" t="s">
        <v>55</v>
      </c>
      <c r="K294" s="299">
        <f>67891600-2000000-3000000</f>
        <v>62891600</v>
      </c>
      <c r="L294" s="221">
        <v>62891600</v>
      </c>
      <c r="M294" s="276" t="str">
        <f t="shared" si="10"/>
        <v>-</v>
      </c>
      <c r="N294" s="91"/>
      <c r="O294" s="91"/>
      <c r="P294" s="91"/>
      <c r="Q294" s="91"/>
      <c r="R294" s="91"/>
      <c r="S294" s="91"/>
      <c r="T294" s="91"/>
      <c r="U294" s="91"/>
      <c r="V294" s="91"/>
    </row>
    <row r="295" spans="1:22" s="10" customFormat="1" ht="33.75">
      <c r="A295" s="199" t="s">
        <v>1634</v>
      </c>
      <c r="B295" s="197" t="s">
        <v>253</v>
      </c>
      <c r="C295" s="186" t="s">
        <v>712</v>
      </c>
      <c r="D295" s="187" t="s">
        <v>54</v>
      </c>
      <c r="E295" s="187" t="s">
        <v>1400</v>
      </c>
      <c r="F295" s="187" t="s">
        <v>246</v>
      </c>
      <c r="G295" s="187" t="s">
        <v>1356</v>
      </c>
      <c r="H295" s="188" t="s">
        <v>673</v>
      </c>
      <c r="I295" s="187" t="s">
        <v>1241</v>
      </c>
      <c r="J295" s="189" t="s">
        <v>55</v>
      </c>
      <c r="K295" s="297">
        <f>9767900+384400</f>
        <v>10152300</v>
      </c>
      <c r="L295" s="221">
        <v>10152300</v>
      </c>
      <c r="M295" s="276" t="str">
        <f t="shared" si="10"/>
        <v>-</v>
      </c>
      <c r="N295" s="91"/>
      <c r="O295" s="91"/>
      <c r="P295" s="91"/>
      <c r="Q295" s="91"/>
      <c r="R295" s="91"/>
      <c r="S295" s="91"/>
      <c r="T295" s="91"/>
      <c r="U295" s="91"/>
      <c r="V295" s="91"/>
    </row>
    <row r="296" spans="1:22" s="10" customFormat="1" ht="22.5">
      <c r="A296" s="199" t="s">
        <v>1242</v>
      </c>
      <c r="B296" s="197" t="s">
        <v>253</v>
      </c>
      <c r="C296" s="150" t="s">
        <v>1034</v>
      </c>
      <c r="D296" s="151" t="s">
        <v>54</v>
      </c>
      <c r="E296" s="151" t="s">
        <v>1400</v>
      </c>
      <c r="F296" s="151" t="s">
        <v>246</v>
      </c>
      <c r="G296" s="151" t="s">
        <v>1356</v>
      </c>
      <c r="H296" s="151" t="s">
        <v>673</v>
      </c>
      <c r="I296" s="151" t="s">
        <v>1243</v>
      </c>
      <c r="J296" s="152" t="s">
        <v>55</v>
      </c>
      <c r="K296" s="221">
        <v>14514300</v>
      </c>
      <c r="L296" s="221">
        <v>13810605</v>
      </c>
      <c r="M296" s="276">
        <f t="shared" si="10"/>
        <v>703695</v>
      </c>
      <c r="N296" s="91"/>
      <c r="O296" s="91"/>
      <c r="P296" s="91"/>
      <c r="Q296" s="91"/>
      <c r="R296" s="91"/>
      <c r="S296" s="91"/>
      <c r="T296" s="91"/>
      <c r="U296" s="91"/>
      <c r="V296" s="91"/>
    </row>
    <row r="297" spans="1:22" s="10" customFormat="1" ht="33.75">
      <c r="A297" s="199" t="s">
        <v>1635</v>
      </c>
      <c r="B297" s="197" t="s">
        <v>253</v>
      </c>
      <c r="C297" s="150" t="s">
        <v>715</v>
      </c>
      <c r="D297" s="151" t="s">
        <v>54</v>
      </c>
      <c r="E297" s="151" t="s">
        <v>1400</v>
      </c>
      <c r="F297" s="151" t="s">
        <v>246</v>
      </c>
      <c r="G297" s="151" t="s">
        <v>1356</v>
      </c>
      <c r="H297" s="151" t="s">
        <v>673</v>
      </c>
      <c r="I297" s="151" t="s">
        <v>1048</v>
      </c>
      <c r="J297" s="152" t="s">
        <v>55</v>
      </c>
      <c r="K297" s="299">
        <f>10263634.38-109299.02-47945.8-1198760</f>
        <v>8907629.56</v>
      </c>
      <c r="L297" s="221">
        <v>8089322.51</v>
      </c>
      <c r="M297" s="276">
        <f t="shared" si="10"/>
        <v>818307.0500000007</v>
      </c>
      <c r="N297" s="91"/>
      <c r="O297" s="91"/>
      <c r="P297" s="91"/>
      <c r="Q297" s="91"/>
      <c r="R297" s="91"/>
      <c r="S297" s="91"/>
      <c r="T297" s="91"/>
      <c r="U297" s="91"/>
      <c r="V297" s="91"/>
    </row>
    <row r="298" spans="1:22" s="259" customFormat="1" ht="85.5" customHeight="1">
      <c r="A298" s="199" t="s">
        <v>2366</v>
      </c>
      <c r="B298" s="197" t="s">
        <v>253</v>
      </c>
      <c r="C298" s="150" t="s">
        <v>1034</v>
      </c>
      <c r="D298" s="151" t="s">
        <v>54</v>
      </c>
      <c r="E298" s="151" t="s">
        <v>1400</v>
      </c>
      <c r="F298" s="151" t="s">
        <v>246</v>
      </c>
      <c r="G298" s="151" t="s">
        <v>1356</v>
      </c>
      <c r="H298" s="151" t="s">
        <v>673</v>
      </c>
      <c r="I298" s="151" t="s">
        <v>2367</v>
      </c>
      <c r="J298" s="152" t="s">
        <v>55</v>
      </c>
      <c r="K298" s="299">
        <v>100000</v>
      </c>
      <c r="L298" s="299">
        <v>0</v>
      </c>
      <c r="M298" s="276">
        <f>IF(K298-L298&gt;0,K298-L298,"-")</f>
        <v>100000</v>
      </c>
      <c r="N298" s="285"/>
      <c r="O298" s="285"/>
      <c r="P298" s="285"/>
      <c r="Q298" s="285"/>
      <c r="R298" s="285"/>
      <c r="S298" s="285"/>
      <c r="T298" s="285"/>
      <c r="U298" s="285"/>
      <c r="V298" s="285"/>
    </row>
    <row r="299" spans="1:22" s="12" customFormat="1" ht="45">
      <c r="A299" s="199" t="s">
        <v>1636</v>
      </c>
      <c r="B299" s="197" t="s">
        <v>253</v>
      </c>
      <c r="C299" s="150" t="s">
        <v>1034</v>
      </c>
      <c r="D299" s="151" t="s">
        <v>54</v>
      </c>
      <c r="E299" s="151" t="s">
        <v>1400</v>
      </c>
      <c r="F299" s="151" t="s">
        <v>246</v>
      </c>
      <c r="G299" s="151" t="s">
        <v>1356</v>
      </c>
      <c r="H299" s="151" t="s">
        <v>673</v>
      </c>
      <c r="I299" s="151" t="s">
        <v>1244</v>
      </c>
      <c r="J299" s="152" t="s">
        <v>55</v>
      </c>
      <c r="K299" s="299">
        <f>443200-107300</f>
        <v>335900</v>
      </c>
      <c r="L299" s="221">
        <v>329579.8</v>
      </c>
      <c r="M299" s="276">
        <f t="shared" si="10"/>
        <v>6320.200000000012</v>
      </c>
      <c r="N299" s="282"/>
      <c r="O299" s="282"/>
      <c r="P299" s="282"/>
      <c r="Q299" s="282"/>
      <c r="R299" s="282"/>
      <c r="S299" s="282"/>
      <c r="T299" s="282"/>
      <c r="U299" s="282"/>
      <c r="V299" s="282"/>
    </row>
    <row r="300" spans="1:22" s="12" customFormat="1" ht="45">
      <c r="A300" s="199" t="s">
        <v>1637</v>
      </c>
      <c r="B300" s="197" t="s">
        <v>253</v>
      </c>
      <c r="C300" s="150" t="s">
        <v>1034</v>
      </c>
      <c r="D300" s="151" t="s">
        <v>54</v>
      </c>
      <c r="E300" s="151" t="s">
        <v>1400</v>
      </c>
      <c r="F300" s="151" t="s">
        <v>246</v>
      </c>
      <c r="G300" s="151" t="s">
        <v>1356</v>
      </c>
      <c r="H300" s="151" t="s">
        <v>673</v>
      </c>
      <c r="I300" s="151" t="s">
        <v>14</v>
      </c>
      <c r="J300" s="152" t="s">
        <v>55</v>
      </c>
      <c r="K300" s="299">
        <v>5195000</v>
      </c>
      <c r="L300" s="221">
        <v>2470799.1</v>
      </c>
      <c r="M300" s="276">
        <f t="shared" si="10"/>
        <v>2724200.9</v>
      </c>
      <c r="N300" s="282"/>
      <c r="O300" s="282"/>
      <c r="P300" s="282"/>
      <c r="Q300" s="282"/>
      <c r="R300" s="282"/>
      <c r="S300" s="282"/>
      <c r="T300" s="282"/>
      <c r="U300" s="282"/>
      <c r="V300" s="282"/>
    </row>
    <row r="301" spans="1:22" s="10" customFormat="1" ht="135">
      <c r="A301" s="199" t="s">
        <v>1638</v>
      </c>
      <c r="B301" s="197" t="s">
        <v>253</v>
      </c>
      <c r="C301" s="150" t="s">
        <v>1034</v>
      </c>
      <c r="D301" s="151" t="s">
        <v>54</v>
      </c>
      <c r="E301" s="151" t="s">
        <v>1400</v>
      </c>
      <c r="F301" s="151" t="s">
        <v>246</v>
      </c>
      <c r="G301" s="151" t="s">
        <v>1356</v>
      </c>
      <c r="H301" s="151" t="s">
        <v>673</v>
      </c>
      <c r="I301" s="151" t="s">
        <v>1071</v>
      </c>
      <c r="J301" s="152" t="s">
        <v>55</v>
      </c>
      <c r="K301" s="299">
        <f>23000000+2363500+12000000</f>
        <v>37363500</v>
      </c>
      <c r="L301" s="221">
        <v>23720838.05</v>
      </c>
      <c r="M301" s="276">
        <f t="shared" si="10"/>
        <v>13642661.95</v>
      </c>
      <c r="N301" s="91"/>
      <c r="O301" s="91"/>
      <c r="P301" s="91"/>
      <c r="Q301" s="91"/>
      <c r="R301" s="91"/>
      <c r="S301" s="91"/>
      <c r="T301" s="91"/>
      <c r="U301" s="91"/>
      <c r="V301" s="91"/>
    </row>
    <row r="302" spans="1:22" s="10" customFormat="1" ht="67.5">
      <c r="A302" s="199" t="s">
        <v>1639</v>
      </c>
      <c r="B302" s="197" t="s">
        <v>253</v>
      </c>
      <c r="C302" s="150" t="s">
        <v>66</v>
      </c>
      <c r="D302" s="151" t="s">
        <v>54</v>
      </c>
      <c r="E302" s="151" t="s">
        <v>1400</v>
      </c>
      <c r="F302" s="151" t="s">
        <v>246</v>
      </c>
      <c r="G302" s="151" t="s">
        <v>1356</v>
      </c>
      <c r="H302" s="151" t="s">
        <v>673</v>
      </c>
      <c r="I302" s="151" t="s">
        <v>1072</v>
      </c>
      <c r="J302" s="152" t="s">
        <v>55</v>
      </c>
      <c r="K302" s="221">
        <v>4666500</v>
      </c>
      <c r="L302" s="221">
        <v>4383899.7</v>
      </c>
      <c r="M302" s="276">
        <f t="shared" si="10"/>
        <v>282600.2999999998</v>
      </c>
      <c r="N302" s="91"/>
      <c r="O302" s="91"/>
      <c r="P302" s="91"/>
      <c r="Q302" s="91"/>
      <c r="R302" s="91"/>
      <c r="S302" s="91"/>
      <c r="T302" s="91"/>
      <c r="U302" s="91"/>
      <c r="V302" s="91"/>
    </row>
    <row r="303" spans="1:22" s="10" customFormat="1" ht="101.25">
      <c r="A303" s="199" t="s">
        <v>1640</v>
      </c>
      <c r="B303" s="197" t="s">
        <v>253</v>
      </c>
      <c r="C303" s="150" t="s">
        <v>1034</v>
      </c>
      <c r="D303" s="151" t="s">
        <v>54</v>
      </c>
      <c r="E303" s="151" t="s">
        <v>1400</v>
      </c>
      <c r="F303" s="151" t="s">
        <v>246</v>
      </c>
      <c r="G303" s="151" t="s">
        <v>1356</v>
      </c>
      <c r="H303" s="151" t="s">
        <v>673</v>
      </c>
      <c r="I303" s="151" t="s">
        <v>1073</v>
      </c>
      <c r="J303" s="152" t="s">
        <v>55</v>
      </c>
      <c r="K303" s="299">
        <f>6475500+3352800</f>
        <v>9828300</v>
      </c>
      <c r="L303" s="246">
        <v>9816635.6</v>
      </c>
      <c r="M303" s="276">
        <f t="shared" si="10"/>
        <v>11664.400000000373</v>
      </c>
      <c r="N303" s="91"/>
      <c r="O303" s="91"/>
      <c r="P303" s="91"/>
      <c r="Q303" s="91"/>
      <c r="R303" s="91"/>
      <c r="S303" s="91"/>
      <c r="T303" s="91"/>
      <c r="U303" s="91"/>
      <c r="V303" s="91"/>
    </row>
    <row r="304" spans="1:22" s="10" customFormat="1" ht="78.75">
      <c r="A304" s="199" t="s">
        <v>1641</v>
      </c>
      <c r="B304" s="197" t="s">
        <v>253</v>
      </c>
      <c r="C304" s="150" t="s">
        <v>1034</v>
      </c>
      <c r="D304" s="151" t="s">
        <v>54</v>
      </c>
      <c r="E304" s="151" t="s">
        <v>1400</v>
      </c>
      <c r="F304" s="151" t="s">
        <v>246</v>
      </c>
      <c r="G304" s="151" t="s">
        <v>1356</v>
      </c>
      <c r="H304" s="151" t="s">
        <v>673</v>
      </c>
      <c r="I304" s="151" t="s">
        <v>664</v>
      </c>
      <c r="J304" s="152" t="s">
        <v>55</v>
      </c>
      <c r="K304" s="221">
        <v>982800</v>
      </c>
      <c r="L304" s="246">
        <v>830928.32</v>
      </c>
      <c r="M304" s="281">
        <f t="shared" si="10"/>
        <v>151871.68000000005</v>
      </c>
      <c r="N304" s="91"/>
      <c r="O304" s="91"/>
      <c r="P304" s="91"/>
      <c r="Q304" s="91"/>
      <c r="R304" s="91"/>
      <c r="S304" s="91"/>
      <c r="T304" s="91"/>
      <c r="U304" s="91"/>
      <c r="V304" s="91"/>
    </row>
    <row r="305" spans="1:22" s="10" customFormat="1" ht="22.5">
      <c r="A305" s="199" t="s">
        <v>844</v>
      </c>
      <c r="B305" s="197" t="s">
        <v>253</v>
      </c>
      <c r="C305" s="150" t="s">
        <v>1034</v>
      </c>
      <c r="D305" s="151" t="s">
        <v>54</v>
      </c>
      <c r="E305" s="151" t="s">
        <v>1400</v>
      </c>
      <c r="F305" s="151" t="s">
        <v>246</v>
      </c>
      <c r="G305" s="151" t="s">
        <v>1356</v>
      </c>
      <c r="H305" s="151" t="s">
        <v>673</v>
      </c>
      <c r="I305" s="151" t="s">
        <v>665</v>
      </c>
      <c r="J305" s="152" t="s">
        <v>55</v>
      </c>
      <c r="K305" s="299">
        <f>1219800+1041500</f>
        <v>2261300</v>
      </c>
      <c r="L305" s="221">
        <v>2256639.42</v>
      </c>
      <c r="M305" s="281">
        <f t="shared" si="10"/>
        <v>4660.5800000000745</v>
      </c>
      <c r="N305" s="91"/>
      <c r="O305" s="91"/>
      <c r="P305" s="91"/>
      <c r="Q305" s="91"/>
      <c r="R305" s="91"/>
      <c r="S305" s="91"/>
      <c r="T305" s="91"/>
      <c r="U305" s="91"/>
      <c r="V305" s="91"/>
    </row>
    <row r="306" spans="1:22" s="10" customFormat="1" ht="67.5">
      <c r="A306" s="199" t="s">
        <v>1642</v>
      </c>
      <c r="B306" s="197" t="s">
        <v>253</v>
      </c>
      <c r="C306" s="186" t="s">
        <v>715</v>
      </c>
      <c r="D306" s="187" t="s">
        <v>54</v>
      </c>
      <c r="E306" s="187" t="s">
        <v>1400</v>
      </c>
      <c r="F306" s="187" t="s">
        <v>246</v>
      </c>
      <c r="G306" s="187" t="s">
        <v>1356</v>
      </c>
      <c r="H306" s="188" t="s">
        <v>673</v>
      </c>
      <c r="I306" s="187" t="s">
        <v>142</v>
      </c>
      <c r="J306" s="189" t="s">
        <v>55</v>
      </c>
      <c r="K306" s="299">
        <f>33782400+51236700</f>
        <v>85019100</v>
      </c>
      <c r="L306" s="221">
        <v>85019100</v>
      </c>
      <c r="M306" s="281" t="str">
        <f t="shared" si="10"/>
        <v>-</v>
      </c>
      <c r="N306" s="91"/>
      <c r="O306" s="91"/>
      <c r="P306" s="91"/>
      <c r="Q306" s="91"/>
      <c r="R306" s="91"/>
      <c r="S306" s="91"/>
      <c r="T306" s="91"/>
      <c r="U306" s="91"/>
      <c r="V306" s="91"/>
    </row>
    <row r="307" spans="1:22" s="10" customFormat="1" ht="67.5">
      <c r="A307" s="199" t="s">
        <v>1643</v>
      </c>
      <c r="B307" s="197" t="s">
        <v>253</v>
      </c>
      <c r="C307" s="150" t="s">
        <v>66</v>
      </c>
      <c r="D307" s="151" t="s">
        <v>54</v>
      </c>
      <c r="E307" s="151" t="s">
        <v>1400</v>
      </c>
      <c r="F307" s="151" t="s">
        <v>246</v>
      </c>
      <c r="G307" s="151" t="s">
        <v>1356</v>
      </c>
      <c r="H307" s="151" t="s">
        <v>673</v>
      </c>
      <c r="I307" s="151" t="s">
        <v>143</v>
      </c>
      <c r="J307" s="152" t="s">
        <v>55</v>
      </c>
      <c r="K307" s="221">
        <v>12892400</v>
      </c>
      <c r="L307" s="221">
        <v>12836999.2</v>
      </c>
      <c r="M307" s="276">
        <f t="shared" si="10"/>
        <v>55400.800000000745</v>
      </c>
      <c r="N307" s="91"/>
      <c r="O307" s="91"/>
      <c r="P307" s="91"/>
      <c r="Q307" s="91"/>
      <c r="R307" s="91"/>
      <c r="S307" s="91"/>
      <c r="T307" s="91"/>
      <c r="U307" s="91"/>
      <c r="V307" s="91"/>
    </row>
    <row r="308" spans="1:22" s="10" customFormat="1" ht="45">
      <c r="A308" s="199" t="s">
        <v>1644</v>
      </c>
      <c r="B308" s="197" t="s">
        <v>253</v>
      </c>
      <c r="C308" s="200" t="s">
        <v>1034</v>
      </c>
      <c r="D308" s="151" t="s">
        <v>54</v>
      </c>
      <c r="E308" s="151" t="s">
        <v>1400</v>
      </c>
      <c r="F308" s="151" t="s">
        <v>246</v>
      </c>
      <c r="G308" s="151" t="s">
        <v>1356</v>
      </c>
      <c r="H308" s="151" t="s">
        <v>673</v>
      </c>
      <c r="I308" s="151" t="s">
        <v>144</v>
      </c>
      <c r="J308" s="152" t="s">
        <v>55</v>
      </c>
      <c r="K308" s="299">
        <f>5746500-243900</f>
        <v>5502600</v>
      </c>
      <c r="L308" s="221">
        <v>5502594</v>
      </c>
      <c r="M308" s="276">
        <f t="shared" si="10"/>
        <v>6</v>
      </c>
      <c r="N308" s="91"/>
      <c r="O308" s="91"/>
      <c r="P308" s="91"/>
      <c r="Q308" s="91"/>
      <c r="R308" s="91"/>
      <c r="S308" s="91"/>
      <c r="T308" s="91"/>
      <c r="U308" s="91"/>
      <c r="V308" s="91"/>
    </row>
    <row r="309" spans="1:22" s="10" customFormat="1" ht="45">
      <c r="A309" s="258" t="s">
        <v>2368</v>
      </c>
      <c r="B309" s="217" t="s">
        <v>253</v>
      </c>
      <c r="C309" s="260" t="s">
        <v>1034</v>
      </c>
      <c r="D309" s="219" t="s">
        <v>54</v>
      </c>
      <c r="E309" s="219" t="s">
        <v>1400</v>
      </c>
      <c r="F309" s="219" t="s">
        <v>246</v>
      </c>
      <c r="G309" s="219" t="s">
        <v>1356</v>
      </c>
      <c r="H309" s="219" t="s">
        <v>673</v>
      </c>
      <c r="I309" s="219" t="s">
        <v>2002</v>
      </c>
      <c r="J309" s="220" t="s">
        <v>55</v>
      </c>
      <c r="K309" s="221">
        <v>800000</v>
      </c>
      <c r="L309" s="221">
        <v>666400</v>
      </c>
      <c r="M309" s="276">
        <f>IF(K309-L309&gt;0,K309-L309,"-")</f>
        <v>133600</v>
      </c>
      <c r="N309" s="91"/>
      <c r="O309" s="91"/>
      <c r="P309" s="91"/>
      <c r="Q309" s="91"/>
      <c r="R309" s="91"/>
      <c r="S309" s="91"/>
      <c r="T309" s="91"/>
      <c r="U309" s="91"/>
      <c r="V309" s="91"/>
    </row>
    <row r="310" spans="1:22" s="10" customFormat="1" ht="67.5">
      <c r="A310" s="199" t="s">
        <v>1645</v>
      </c>
      <c r="B310" s="197" t="s">
        <v>253</v>
      </c>
      <c r="C310" s="150" t="s">
        <v>1034</v>
      </c>
      <c r="D310" s="151" t="s">
        <v>54</v>
      </c>
      <c r="E310" s="151" t="s">
        <v>1400</v>
      </c>
      <c r="F310" s="151" t="s">
        <v>246</v>
      </c>
      <c r="G310" s="151" t="s">
        <v>1356</v>
      </c>
      <c r="H310" s="151" t="s">
        <v>673</v>
      </c>
      <c r="I310" s="151" t="s">
        <v>1413</v>
      </c>
      <c r="J310" s="152" t="s">
        <v>55</v>
      </c>
      <c r="K310" s="221">
        <v>9855700</v>
      </c>
      <c r="L310" s="221">
        <v>9855700</v>
      </c>
      <c r="M310" s="276" t="str">
        <f t="shared" si="10"/>
        <v>-</v>
      </c>
      <c r="N310" s="91"/>
      <c r="O310" s="91"/>
      <c r="P310" s="91"/>
      <c r="Q310" s="91"/>
      <c r="R310" s="91"/>
      <c r="S310" s="91"/>
      <c r="T310" s="91"/>
      <c r="U310" s="91"/>
      <c r="V310" s="91"/>
    </row>
    <row r="311" spans="1:22" s="10" customFormat="1" ht="90">
      <c r="A311" s="199" t="s">
        <v>1245</v>
      </c>
      <c r="B311" s="197" t="s">
        <v>253</v>
      </c>
      <c r="C311" s="150" t="s">
        <v>712</v>
      </c>
      <c r="D311" s="151" t="s">
        <v>54</v>
      </c>
      <c r="E311" s="151" t="s">
        <v>1400</v>
      </c>
      <c r="F311" s="151" t="s">
        <v>246</v>
      </c>
      <c r="G311" s="151" t="s">
        <v>1356</v>
      </c>
      <c r="H311" s="151" t="s">
        <v>673</v>
      </c>
      <c r="I311" s="151" t="s">
        <v>879</v>
      </c>
      <c r="J311" s="152" t="s">
        <v>55</v>
      </c>
      <c r="K311" s="297">
        <f>136798900+1580600+10000</f>
        <v>138389500</v>
      </c>
      <c r="L311" s="221">
        <v>138389500</v>
      </c>
      <c r="M311" s="276" t="str">
        <f t="shared" si="10"/>
        <v>-</v>
      </c>
      <c r="N311" s="91"/>
      <c r="O311" s="91"/>
      <c r="P311" s="91"/>
      <c r="Q311" s="91"/>
      <c r="R311" s="91"/>
      <c r="S311" s="91"/>
      <c r="T311" s="91"/>
      <c r="U311" s="91"/>
      <c r="V311" s="91"/>
    </row>
    <row r="312" spans="1:22" s="10" customFormat="1" ht="90">
      <c r="A312" s="199" t="s">
        <v>1646</v>
      </c>
      <c r="B312" s="197" t="s">
        <v>253</v>
      </c>
      <c r="C312" s="150" t="s">
        <v>712</v>
      </c>
      <c r="D312" s="151" t="s">
        <v>54</v>
      </c>
      <c r="E312" s="151" t="s">
        <v>1400</v>
      </c>
      <c r="F312" s="151" t="s">
        <v>246</v>
      </c>
      <c r="G312" s="151" t="s">
        <v>1356</v>
      </c>
      <c r="H312" s="151" t="s">
        <v>673</v>
      </c>
      <c r="I312" s="151" t="s">
        <v>880</v>
      </c>
      <c r="J312" s="152" t="s">
        <v>55</v>
      </c>
      <c r="K312" s="297">
        <f>214455300+2000000+1285100+2509800+357000</f>
        <v>220607200</v>
      </c>
      <c r="L312" s="221">
        <v>220607200</v>
      </c>
      <c r="M312" s="276" t="str">
        <f t="shared" si="10"/>
        <v>-</v>
      </c>
      <c r="N312" s="91"/>
      <c r="O312" s="91"/>
      <c r="P312" s="91"/>
      <c r="Q312" s="91"/>
      <c r="R312" s="91"/>
      <c r="S312" s="91"/>
      <c r="T312" s="91"/>
      <c r="U312" s="91"/>
      <c r="V312" s="91"/>
    </row>
    <row r="313" spans="1:22" s="10" customFormat="1" ht="56.25">
      <c r="A313" s="199" t="s">
        <v>1647</v>
      </c>
      <c r="B313" s="197" t="s">
        <v>253</v>
      </c>
      <c r="C313" s="150" t="s">
        <v>1034</v>
      </c>
      <c r="D313" s="151" t="s">
        <v>54</v>
      </c>
      <c r="E313" s="151" t="s">
        <v>1400</v>
      </c>
      <c r="F313" s="151" t="s">
        <v>246</v>
      </c>
      <c r="G313" s="151" t="s">
        <v>1356</v>
      </c>
      <c r="H313" s="151" t="s">
        <v>673</v>
      </c>
      <c r="I313" s="151" t="s">
        <v>518</v>
      </c>
      <c r="J313" s="152" t="s">
        <v>55</v>
      </c>
      <c r="K313" s="299">
        <f>84300+3200+5600+7800</f>
        <v>100900</v>
      </c>
      <c r="L313" s="221">
        <v>100900</v>
      </c>
      <c r="M313" s="276" t="str">
        <f t="shared" si="10"/>
        <v>-</v>
      </c>
      <c r="N313" s="91"/>
      <c r="O313" s="91"/>
      <c r="P313" s="91"/>
      <c r="Q313" s="91"/>
      <c r="R313" s="91"/>
      <c r="S313" s="91"/>
      <c r="T313" s="91"/>
      <c r="U313" s="91"/>
      <c r="V313" s="91"/>
    </row>
    <row r="314" spans="1:22" s="10" customFormat="1" ht="33.75">
      <c r="A314" s="199" t="s">
        <v>666</v>
      </c>
      <c r="B314" s="197" t="s">
        <v>253</v>
      </c>
      <c r="C314" s="150" t="s">
        <v>1034</v>
      </c>
      <c r="D314" s="151" t="s">
        <v>54</v>
      </c>
      <c r="E314" s="151" t="s">
        <v>1400</v>
      </c>
      <c r="F314" s="151" t="s">
        <v>246</v>
      </c>
      <c r="G314" s="151" t="s">
        <v>1356</v>
      </c>
      <c r="H314" s="151" t="s">
        <v>673</v>
      </c>
      <c r="I314" s="151" t="s">
        <v>667</v>
      </c>
      <c r="J314" s="152" t="s">
        <v>55</v>
      </c>
      <c r="K314" s="299">
        <f>923500+32600+78100+56500</f>
        <v>1090700</v>
      </c>
      <c r="L314" s="221">
        <v>1072900.04</v>
      </c>
      <c r="M314" s="276">
        <f t="shared" si="10"/>
        <v>17799.959999999963</v>
      </c>
      <c r="N314" s="91"/>
      <c r="O314" s="91"/>
      <c r="P314" s="91"/>
      <c r="Q314" s="91"/>
      <c r="R314" s="91"/>
      <c r="S314" s="91"/>
      <c r="T314" s="91"/>
      <c r="U314" s="91"/>
      <c r="V314" s="91"/>
    </row>
    <row r="315" spans="1:22" s="10" customFormat="1" ht="22.5">
      <c r="A315" s="199" t="s">
        <v>622</v>
      </c>
      <c r="B315" s="197" t="s">
        <v>253</v>
      </c>
      <c r="C315" s="150" t="s">
        <v>715</v>
      </c>
      <c r="D315" s="151" t="s">
        <v>54</v>
      </c>
      <c r="E315" s="151" t="s">
        <v>1400</v>
      </c>
      <c r="F315" s="151" t="s">
        <v>246</v>
      </c>
      <c r="G315" s="151" t="s">
        <v>1356</v>
      </c>
      <c r="H315" s="151" t="s">
        <v>673</v>
      </c>
      <c r="I315" s="151" t="s">
        <v>623</v>
      </c>
      <c r="J315" s="152" t="s">
        <v>55</v>
      </c>
      <c r="K315" s="297">
        <f>46143050+2747300+3671100-2500000</f>
        <v>50061450</v>
      </c>
      <c r="L315" s="246">
        <v>48958001.48</v>
      </c>
      <c r="M315" s="276">
        <f t="shared" si="10"/>
        <v>1103448.5200000033</v>
      </c>
      <c r="N315" s="91"/>
      <c r="O315" s="91"/>
      <c r="P315" s="91"/>
      <c r="Q315" s="91"/>
      <c r="R315" s="91"/>
      <c r="S315" s="91"/>
      <c r="T315" s="91"/>
      <c r="U315" s="91"/>
      <c r="V315" s="91"/>
    </row>
    <row r="316" spans="1:22" s="10" customFormat="1" ht="22.5">
      <c r="A316" s="199" t="s">
        <v>603</v>
      </c>
      <c r="B316" s="197" t="s">
        <v>253</v>
      </c>
      <c r="C316" s="150" t="s">
        <v>1034</v>
      </c>
      <c r="D316" s="151" t="s">
        <v>54</v>
      </c>
      <c r="E316" s="151" t="s">
        <v>1400</v>
      </c>
      <c r="F316" s="151" t="s">
        <v>246</v>
      </c>
      <c r="G316" s="151" t="s">
        <v>1356</v>
      </c>
      <c r="H316" s="151" t="s">
        <v>673</v>
      </c>
      <c r="I316" s="151" t="s">
        <v>624</v>
      </c>
      <c r="J316" s="152" t="s">
        <v>55</v>
      </c>
      <c r="K316" s="299">
        <f>177200+5500+9500+13100</f>
        <v>205300</v>
      </c>
      <c r="L316" s="246">
        <v>205300</v>
      </c>
      <c r="M316" s="276" t="str">
        <f t="shared" si="10"/>
        <v>-</v>
      </c>
      <c r="N316" s="91"/>
      <c r="O316" s="91"/>
      <c r="P316" s="91"/>
      <c r="Q316" s="91"/>
      <c r="R316" s="91"/>
      <c r="S316" s="91"/>
      <c r="T316" s="91"/>
      <c r="U316" s="91"/>
      <c r="V316" s="91"/>
    </row>
    <row r="317" spans="1:22" s="10" customFormat="1" ht="33.75">
      <c r="A317" s="199" t="s">
        <v>625</v>
      </c>
      <c r="B317" s="197" t="s">
        <v>253</v>
      </c>
      <c r="C317" s="150" t="s">
        <v>1034</v>
      </c>
      <c r="D317" s="151" t="s">
        <v>54</v>
      </c>
      <c r="E317" s="151" t="s">
        <v>1400</v>
      </c>
      <c r="F317" s="151" t="s">
        <v>246</v>
      </c>
      <c r="G317" s="151" t="s">
        <v>1356</v>
      </c>
      <c r="H317" s="151" t="s">
        <v>673</v>
      </c>
      <c r="I317" s="151" t="s">
        <v>626</v>
      </c>
      <c r="J317" s="152" t="s">
        <v>55</v>
      </c>
      <c r="K317" s="299">
        <f>4923700+175500+304200+391000</f>
        <v>5794400</v>
      </c>
      <c r="L317" s="246">
        <v>5794400</v>
      </c>
      <c r="M317" s="276" t="str">
        <f t="shared" si="10"/>
        <v>-</v>
      </c>
      <c r="N317" s="91"/>
      <c r="O317" s="91"/>
      <c r="P317" s="91"/>
      <c r="Q317" s="91"/>
      <c r="R317" s="91"/>
      <c r="S317" s="91"/>
      <c r="T317" s="91"/>
      <c r="U317" s="91"/>
      <c r="V317" s="91"/>
    </row>
    <row r="318" spans="1:22" s="10" customFormat="1" ht="22.5">
      <c r="A318" s="199" t="s">
        <v>627</v>
      </c>
      <c r="B318" s="197" t="s">
        <v>253</v>
      </c>
      <c r="C318" s="150" t="s">
        <v>716</v>
      </c>
      <c r="D318" s="151" t="s">
        <v>54</v>
      </c>
      <c r="E318" s="151" t="s">
        <v>1400</v>
      </c>
      <c r="F318" s="151" t="s">
        <v>246</v>
      </c>
      <c r="G318" s="151" t="s">
        <v>1356</v>
      </c>
      <c r="H318" s="151" t="s">
        <v>673</v>
      </c>
      <c r="I318" s="151" t="s">
        <v>628</v>
      </c>
      <c r="J318" s="152" t="s">
        <v>55</v>
      </c>
      <c r="K318" s="299">
        <f>36791600+1122512</f>
        <v>37914112</v>
      </c>
      <c r="L318" s="221">
        <v>37914112</v>
      </c>
      <c r="M318" s="276" t="str">
        <f t="shared" si="10"/>
        <v>-</v>
      </c>
      <c r="N318" s="91"/>
      <c r="O318" s="91"/>
      <c r="P318" s="91"/>
      <c r="Q318" s="91"/>
      <c r="R318" s="91"/>
      <c r="S318" s="91"/>
      <c r="T318" s="91"/>
      <c r="U318" s="91"/>
      <c r="V318" s="91"/>
    </row>
    <row r="319" spans="1:22" s="10" customFormat="1" ht="22.5">
      <c r="A319" s="199" t="s">
        <v>629</v>
      </c>
      <c r="B319" s="197" t="s">
        <v>253</v>
      </c>
      <c r="C319" s="200" t="s">
        <v>1034</v>
      </c>
      <c r="D319" s="151" t="s">
        <v>54</v>
      </c>
      <c r="E319" s="151" t="s">
        <v>1400</v>
      </c>
      <c r="F319" s="151" t="s">
        <v>246</v>
      </c>
      <c r="G319" s="151" t="s">
        <v>1356</v>
      </c>
      <c r="H319" s="151" t="s">
        <v>673</v>
      </c>
      <c r="I319" s="151" t="s">
        <v>630</v>
      </c>
      <c r="J319" s="152" t="s">
        <v>55</v>
      </c>
      <c r="K319" s="299">
        <f>1571500+32600+56400+78100</f>
        <v>1738600</v>
      </c>
      <c r="L319" s="221">
        <v>1738600</v>
      </c>
      <c r="M319" s="276" t="str">
        <f t="shared" si="10"/>
        <v>-</v>
      </c>
      <c r="N319" s="91"/>
      <c r="O319" s="91"/>
      <c r="P319" s="91"/>
      <c r="Q319" s="91"/>
      <c r="R319" s="91"/>
      <c r="S319" s="91"/>
      <c r="T319" s="91"/>
      <c r="U319" s="91"/>
      <c r="V319" s="91"/>
    </row>
    <row r="320" spans="1:22" s="10" customFormat="1" ht="22.5">
      <c r="A320" s="199" t="s">
        <v>881</v>
      </c>
      <c r="B320" s="197" t="s">
        <v>253</v>
      </c>
      <c r="C320" s="150" t="s">
        <v>65</v>
      </c>
      <c r="D320" s="151" t="s">
        <v>54</v>
      </c>
      <c r="E320" s="151" t="s">
        <v>1400</v>
      </c>
      <c r="F320" s="151" t="s">
        <v>246</v>
      </c>
      <c r="G320" s="151" t="s">
        <v>1356</v>
      </c>
      <c r="H320" s="151" t="s">
        <v>673</v>
      </c>
      <c r="I320" s="151" t="s">
        <v>8</v>
      </c>
      <c r="J320" s="152" t="s">
        <v>55</v>
      </c>
      <c r="K320" s="299">
        <f>1231800+55680.21</f>
        <v>1287480.21</v>
      </c>
      <c r="L320" s="221">
        <v>1287480.21</v>
      </c>
      <c r="M320" s="276" t="str">
        <f t="shared" si="10"/>
        <v>-</v>
      </c>
      <c r="N320" s="91"/>
      <c r="O320" s="91"/>
      <c r="P320" s="91"/>
      <c r="Q320" s="91"/>
      <c r="R320" s="91"/>
      <c r="S320" s="91"/>
      <c r="T320" s="91"/>
      <c r="U320" s="91"/>
      <c r="V320" s="91"/>
    </row>
    <row r="321" spans="1:22" s="10" customFormat="1" ht="33.75">
      <c r="A321" s="199" t="s">
        <v>845</v>
      </c>
      <c r="B321" s="197" t="s">
        <v>253</v>
      </c>
      <c r="C321" s="150" t="s">
        <v>1034</v>
      </c>
      <c r="D321" s="151" t="s">
        <v>54</v>
      </c>
      <c r="E321" s="151" t="s">
        <v>1400</v>
      </c>
      <c r="F321" s="151" t="s">
        <v>246</v>
      </c>
      <c r="G321" s="151" t="s">
        <v>1356</v>
      </c>
      <c r="H321" s="151" t="s">
        <v>673</v>
      </c>
      <c r="I321" s="151" t="s">
        <v>9</v>
      </c>
      <c r="J321" s="152" t="s">
        <v>55</v>
      </c>
      <c r="K321" s="299">
        <f>8565900+299100+518400+691900</f>
        <v>10075300</v>
      </c>
      <c r="L321" s="221">
        <v>10075300</v>
      </c>
      <c r="M321" s="276" t="str">
        <f t="shared" si="10"/>
        <v>-</v>
      </c>
      <c r="N321" s="91"/>
      <c r="O321" s="91"/>
      <c r="P321" s="91"/>
      <c r="Q321" s="91"/>
      <c r="R321" s="91"/>
      <c r="S321" s="91"/>
      <c r="T321" s="91"/>
      <c r="U321" s="91"/>
      <c r="V321" s="91"/>
    </row>
    <row r="322" spans="1:22" s="10" customFormat="1" ht="123.75">
      <c r="A322" s="199" t="s">
        <v>1648</v>
      </c>
      <c r="B322" s="197" t="s">
        <v>253</v>
      </c>
      <c r="C322" s="150" t="s">
        <v>715</v>
      </c>
      <c r="D322" s="151" t="s">
        <v>54</v>
      </c>
      <c r="E322" s="151" t="s">
        <v>1400</v>
      </c>
      <c r="F322" s="151" t="s">
        <v>246</v>
      </c>
      <c r="G322" s="151" t="s">
        <v>1356</v>
      </c>
      <c r="H322" s="151" t="s">
        <v>673</v>
      </c>
      <c r="I322" s="151" t="s">
        <v>737</v>
      </c>
      <c r="J322" s="152" t="s">
        <v>55</v>
      </c>
      <c r="K322" s="299">
        <f>67382000+20874500</f>
        <v>88256500</v>
      </c>
      <c r="L322" s="221">
        <v>88196484.85</v>
      </c>
      <c r="M322" s="276">
        <f t="shared" si="10"/>
        <v>60015.15000000596</v>
      </c>
      <c r="N322" s="91"/>
      <c r="O322" s="91"/>
      <c r="P322" s="91"/>
      <c r="Q322" s="91"/>
      <c r="R322" s="91"/>
      <c r="S322" s="91"/>
      <c r="T322" s="91"/>
      <c r="U322" s="91"/>
      <c r="V322" s="91"/>
    </row>
    <row r="323" spans="1:22" s="10" customFormat="1" ht="78.75">
      <c r="A323" s="199" t="s">
        <v>1649</v>
      </c>
      <c r="B323" s="197" t="s">
        <v>253</v>
      </c>
      <c r="C323" s="150" t="s">
        <v>1034</v>
      </c>
      <c r="D323" s="151" t="s">
        <v>54</v>
      </c>
      <c r="E323" s="151" t="s">
        <v>1400</v>
      </c>
      <c r="F323" s="151" t="s">
        <v>246</v>
      </c>
      <c r="G323" s="151" t="s">
        <v>1356</v>
      </c>
      <c r="H323" s="151" t="s">
        <v>673</v>
      </c>
      <c r="I323" s="151" t="s">
        <v>738</v>
      </c>
      <c r="J323" s="152" t="s">
        <v>55</v>
      </c>
      <c r="K323" s="299">
        <f>26000+28000</f>
        <v>54000</v>
      </c>
      <c r="L323" s="221">
        <v>53514.16</v>
      </c>
      <c r="M323" s="276">
        <f t="shared" si="10"/>
        <v>485.8399999999965</v>
      </c>
      <c r="N323" s="91"/>
      <c r="O323" s="91"/>
      <c r="P323" s="91"/>
      <c r="Q323" s="91"/>
      <c r="R323" s="91"/>
      <c r="S323" s="91"/>
      <c r="T323" s="91"/>
      <c r="U323" s="91"/>
      <c r="V323" s="91"/>
    </row>
    <row r="324" spans="1:22" s="10" customFormat="1" ht="56.25">
      <c r="A324" s="199" t="s">
        <v>145</v>
      </c>
      <c r="B324" s="197" t="s">
        <v>253</v>
      </c>
      <c r="C324" s="150" t="s">
        <v>1034</v>
      </c>
      <c r="D324" s="151" t="s">
        <v>54</v>
      </c>
      <c r="E324" s="151" t="s">
        <v>1400</v>
      </c>
      <c r="F324" s="151" t="s">
        <v>246</v>
      </c>
      <c r="G324" s="151" t="s">
        <v>1356</v>
      </c>
      <c r="H324" s="151" t="s">
        <v>673</v>
      </c>
      <c r="I324" s="151" t="s">
        <v>93</v>
      </c>
      <c r="J324" s="152" t="s">
        <v>55</v>
      </c>
      <c r="K324" s="299">
        <f>1651200-501600</f>
        <v>1149600</v>
      </c>
      <c r="L324" s="221">
        <v>1146827.66</v>
      </c>
      <c r="M324" s="276">
        <f t="shared" si="10"/>
        <v>2772.340000000084</v>
      </c>
      <c r="N324" s="91"/>
      <c r="O324" s="91"/>
      <c r="P324" s="91"/>
      <c r="Q324" s="91"/>
      <c r="R324" s="91"/>
      <c r="S324" s="91"/>
      <c r="T324" s="91"/>
      <c r="U324" s="91"/>
      <c r="V324" s="91"/>
    </row>
    <row r="325" spans="1:22" s="10" customFormat="1" ht="33.75">
      <c r="A325" s="199" t="s">
        <v>846</v>
      </c>
      <c r="B325" s="197" t="s">
        <v>253</v>
      </c>
      <c r="C325" s="150" t="s">
        <v>1034</v>
      </c>
      <c r="D325" s="151" t="s">
        <v>54</v>
      </c>
      <c r="E325" s="151" t="s">
        <v>1400</v>
      </c>
      <c r="F325" s="151" t="s">
        <v>246</v>
      </c>
      <c r="G325" s="151" t="s">
        <v>1356</v>
      </c>
      <c r="H325" s="151" t="s">
        <v>673</v>
      </c>
      <c r="I325" s="151" t="s">
        <v>739</v>
      </c>
      <c r="J325" s="152" t="s">
        <v>55</v>
      </c>
      <c r="K325" s="221">
        <v>1699800</v>
      </c>
      <c r="L325" s="221">
        <v>1625343.5</v>
      </c>
      <c r="M325" s="276">
        <f t="shared" si="10"/>
        <v>74456.5</v>
      </c>
      <c r="N325" s="91"/>
      <c r="O325" s="91"/>
      <c r="P325" s="91"/>
      <c r="Q325" s="91"/>
      <c r="R325" s="91"/>
      <c r="S325" s="91"/>
      <c r="T325" s="91"/>
      <c r="U325" s="91"/>
      <c r="V325" s="91"/>
    </row>
    <row r="326" spans="1:22" s="10" customFormat="1" ht="168.75">
      <c r="A326" s="199" t="s">
        <v>1650</v>
      </c>
      <c r="B326" s="197" t="s">
        <v>253</v>
      </c>
      <c r="C326" s="150" t="s">
        <v>712</v>
      </c>
      <c r="D326" s="151" t="s">
        <v>54</v>
      </c>
      <c r="E326" s="151" t="s">
        <v>1400</v>
      </c>
      <c r="F326" s="151" t="s">
        <v>246</v>
      </c>
      <c r="G326" s="151" t="s">
        <v>1356</v>
      </c>
      <c r="H326" s="151" t="s">
        <v>673</v>
      </c>
      <c r="I326" s="151" t="s">
        <v>740</v>
      </c>
      <c r="J326" s="152" t="s">
        <v>55</v>
      </c>
      <c r="K326" s="299">
        <f>1867800+2990400</f>
        <v>4858200</v>
      </c>
      <c r="L326" s="221">
        <v>2871825</v>
      </c>
      <c r="M326" s="276">
        <f t="shared" si="10"/>
        <v>1986375</v>
      </c>
      <c r="N326" s="91"/>
      <c r="O326" s="91"/>
      <c r="P326" s="91"/>
      <c r="Q326" s="91"/>
      <c r="R326" s="91"/>
      <c r="S326" s="91"/>
      <c r="T326" s="91"/>
      <c r="U326" s="91"/>
      <c r="V326" s="91"/>
    </row>
    <row r="327" spans="1:22" s="10" customFormat="1" ht="202.5" customHeight="1">
      <c r="A327" s="196" t="s">
        <v>1651</v>
      </c>
      <c r="B327" s="197" t="s">
        <v>253</v>
      </c>
      <c r="C327" s="150" t="s">
        <v>1034</v>
      </c>
      <c r="D327" s="151" t="s">
        <v>54</v>
      </c>
      <c r="E327" s="151" t="s">
        <v>1400</v>
      </c>
      <c r="F327" s="151" t="s">
        <v>246</v>
      </c>
      <c r="G327" s="151" t="s">
        <v>1356</v>
      </c>
      <c r="H327" s="151" t="s">
        <v>673</v>
      </c>
      <c r="I327" s="151" t="s">
        <v>1070</v>
      </c>
      <c r="J327" s="152" t="s">
        <v>55</v>
      </c>
      <c r="K327" s="299">
        <f>2820900+351300</f>
        <v>3172200</v>
      </c>
      <c r="L327" s="221">
        <v>3172200</v>
      </c>
      <c r="M327" s="275" t="str">
        <f t="shared" si="10"/>
        <v>-</v>
      </c>
      <c r="N327" s="91"/>
      <c r="O327" s="91"/>
      <c r="P327" s="91"/>
      <c r="Q327" s="91"/>
      <c r="R327" s="91"/>
      <c r="S327" s="91"/>
      <c r="T327" s="91"/>
      <c r="U327" s="91"/>
      <c r="V327" s="91"/>
    </row>
    <row r="328" spans="1:22" s="10" customFormat="1" ht="90">
      <c r="A328" s="196" t="s">
        <v>931</v>
      </c>
      <c r="B328" s="197" t="s">
        <v>253</v>
      </c>
      <c r="C328" s="150" t="s">
        <v>712</v>
      </c>
      <c r="D328" s="151" t="s">
        <v>54</v>
      </c>
      <c r="E328" s="151" t="s">
        <v>1400</v>
      </c>
      <c r="F328" s="151" t="s">
        <v>246</v>
      </c>
      <c r="G328" s="151" t="s">
        <v>1356</v>
      </c>
      <c r="H328" s="151" t="s">
        <v>673</v>
      </c>
      <c r="I328" s="151" t="s">
        <v>1408</v>
      </c>
      <c r="J328" s="152" t="s">
        <v>55</v>
      </c>
      <c r="K328" s="299">
        <f>9521500-2500000</f>
        <v>7021500</v>
      </c>
      <c r="L328" s="221">
        <v>6122178.36</v>
      </c>
      <c r="M328" s="276">
        <f t="shared" si="10"/>
        <v>899321.6399999997</v>
      </c>
      <c r="N328" s="91"/>
      <c r="O328" s="91"/>
      <c r="P328" s="91"/>
      <c r="Q328" s="91"/>
      <c r="R328" s="91"/>
      <c r="S328" s="91"/>
      <c r="T328" s="91"/>
      <c r="U328" s="91"/>
      <c r="V328" s="91"/>
    </row>
    <row r="329" spans="1:22" s="10" customFormat="1" ht="33.75">
      <c r="A329" s="196" t="s">
        <v>1322</v>
      </c>
      <c r="B329" s="197" t="s">
        <v>253</v>
      </c>
      <c r="C329" s="150" t="s">
        <v>712</v>
      </c>
      <c r="D329" s="151" t="s">
        <v>54</v>
      </c>
      <c r="E329" s="151" t="s">
        <v>1400</v>
      </c>
      <c r="F329" s="151" t="s">
        <v>246</v>
      </c>
      <c r="G329" s="151" t="s">
        <v>1356</v>
      </c>
      <c r="H329" s="151" t="s">
        <v>673</v>
      </c>
      <c r="I329" s="151" t="s">
        <v>1323</v>
      </c>
      <c r="J329" s="152" t="s">
        <v>55</v>
      </c>
      <c r="K329" s="299">
        <f>6933640+338594+468800</f>
        <v>7741034</v>
      </c>
      <c r="L329" s="221">
        <v>7741034</v>
      </c>
      <c r="M329" s="275" t="str">
        <f t="shared" si="10"/>
        <v>-</v>
      </c>
      <c r="N329" s="91"/>
      <c r="O329" s="91"/>
      <c r="P329" s="91"/>
      <c r="Q329" s="91"/>
      <c r="R329" s="91"/>
      <c r="S329" s="91"/>
      <c r="T329" s="91"/>
      <c r="U329" s="91"/>
      <c r="V329" s="91"/>
    </row>
    <row r="330" spans="1:22" s="10" customFormat="1" ht="56.25">
      <c r="A330" s="199" t="s">
        <v>1652</v>
      </c>
      <c r="B330" s="197" t="s">
        <v>253</v>
      </c>
      <c r="C330" s="150" t="s">
        <v>712</v>
      </c>
      <c r="D330" s="151" t="s">
        <v>54</v>
      </c>
      <c r="E330" s="151" t="s">
        <v>1400</v>
      </c>
      <c r="F330" s="151" t="s">
        <v>246</v>
      </c>
      <c r="G330" s="151" t="s">
        <v>1356</v>
      </c>
      <c r="H330" s="151" t="s">
        <v>673</v>
      </c>
      <c r="I330" s="151" t="s">
        <v>1324</v>
      </c>
      <c r="J330" s="152" t="s">
        <v>55</v>
      </c>
      <c r="K330" s="299">
        <v>722700</v>
      </c>
      <c r="L330" s="221">
        <v>722700</v>
      </c>
      <c r="M330" s="276" t="str">
        <f t="shared" si="10"/>
        <v>-</v>
      </c>
      <c r="N330" s="91"/>
      <c r="O330" s="91"/>
      <c r="P330" s="91"/>
      <c r="Q330" s="91"/>
      <c r="R330" s="91"/>
      <c r="S330" s="91"/>
      <c r="T330" s="91"/>
      <c r="U330" s="91"/>
      <c r="V330" s="91"/>
    </row>
    <row r="331" spans="1:22" s="10" customFormat="1" ht="101.25">
      <c r="A331" s="196" t="s">
        <v>932</v>
      </c>
      <c r="B331" s="197" t="s">
        <v>253</v>
      </c>
      <c r="C331" s="145" t="s">
        <v>712</v>
      </c>
      <c r="D331" s="146" t="s">
        <v>54</v>
      </c>
      <c r="E331" s="146" t="s">
        <v>1400</v>
      </c>
      <c r="F331" s="146" t="s">
        <v>246</v>
      </c>
      <c r="G331" s="146" t="s">
        <v>1356</v>
      </c>
      <c r="H331" s="146" t="s">
        <v>673</v>
      </c>
      <c r="I331" s="146" t="s">
        <v>1379</v>
      </c>
      <c r="J331" s="147" t="s">
        <v>55</v>
      </c>
      <c r="K331" s="297">
        <f>624133500+4063300+6543000+1714900+3588400+3615600</f>
        <v>643658700</v>
      </c>
      <c r="L331" s="221">
        <v>643658700</v>
      </c>
      <c r="M331" s="275" t="str">
        <f t="shared" si="10"/>
        <v>-</v>
      </c>
      <c r="N331" s="91"/>
      <c r="O331" s="91"/>
      <c r="P331" s="91"/>
      <c r="Q331" s="91"/>
      <c r="R331" s="91"/>
      <c r="S331" s="91"/>
      <c r="T331" s="91"/>
      <c r="U331" s="91"/>
      <c r="V331" s="91"/>
    </row>
    <row r="332" spans="1:22" s="10" customFormat="1" ht="22.5">
      <c r="A332" s="196" t="s">
        <v>1320</v>
      </c>
      <c r="B332" s="197" t="s">
        <v>253</v>
      </c>
      <c r="C332" s="145" t="s">
        <v>65</v>
      </c>
      <c r="D332" s="146" t="s">
        <v>54</v>
      </c>
      <c r="E332" s="146" t="s">
        <v>1400</v>
      </c>
      <c r="F332" s="146" t="s">
        <v>246</v>
      </c>
      <c r="G332" s="146" t="s">
        <v>1356</v>
      </c>
      <c r="H332" s="146" t="s">
        <v>673</v>
      </c>
      <c r="I332" s="146" t="s">
        <v>1368</v>
      </c>
      <c r="J332" s="147" t="s">
        <v>55</v>
      </c>
      <c r="K332" s="299">
        <f>584172700-29547500</f>
        <v>554625200</v>
      </c>
      <c r="L332" s="221">
        <v>501378981</v>
      </c>
      <c r="M332" s="276">
        <f t="shared" si="10"/>
        <v>53246219</v>
      </c>
      <c r="N332" s="91"/>
      <c r="O332" s="91"/>
      <c r="P332" s="91"/>
      <c r="Q332" s="91"/>
      <c r="R332" s="91"/>
      <c r="S332" s="91"/>
      <c r="T332" s="91"/>
      <c r="U332" s="91"/>
      <c r="V332" s="91"/>
    </row>
    <row r="333" spans="1:22" s="10" customFormat="1" ht="45">
      <c r="A333" s="196" t="s">
        <v>699</v>
      </c>
      <c r="B333" s="197" t="s">
        <v>253</v>
      </c>
      <c r="C333" s="145" t="s">
        <v>65</v>
      </c>
      <c r="D333" s="146" t="s">
        <v>54</v>
      </c>
      <c r="E333" s="146" t="s">
        <v>1400</v>
      </c>
      <c r="F333" s="146" t="s">
        <v>246</v>
      </c>
      <c r="G333" s="146" t="s">
        <v>1356</v>
      </c>
      <c r="H333" s="146" t="s">
        <v>673</v>
      </c>
      <c r="I333" s="146" t="s">
        <v>700</v>
      </c>
      <c r="J333" s="147" t="s">
        <v>55</v>
      </c>
      <c r="K333" s="299">
        <f>601902100-8122600</f>
        <v>593779500</v>
      </c>
      <c r="L333" s="221">
        <v>589028611</v>
      </c>
      <c r="M333" s="275">
        <f t="shared" si="10"/>
        <v>4750889</v>
      </c>
      <c r="N333" s="91"/>
      <c r="O333" s="91"/>
      <c r="P333" s="91"/>
      <c r="Q333" s="91"/>
      <c r="R333" s="91"/>
      <c r="S333" s="91"/>
      <c r="T333" s="91"/>
      <c r="U333" s="91"/>
      <c r="V333" s="91"/>
    </row>
    <row r="334" spans="1:22" s="10" customFormat="1" ht="90">
      <c r="A334" s="199" t="s">
        <v>933</v>
      </c>
      <c r="B334" s="197" t="s">
        <v>253</v>
      </c>
      <c r="C334" s="145" t="s">
        <v>712</v>
      </c>
      <c r="D334" s="146" t="s">
        <v>54</v>
      </c>
      <c r="E334" s="146" t="s">
        <v>1400</v>
      </c>
      <c r="F334" s="146" t="s">
        <v>246</v>
      </c>
      <c r="G334" s="146" t="s">
        <v>1356</v>
      </c>
      <c r="H334" s="146" t="s">
        <v>673</v>
      </c>
      <c r="I334" s="146" t="s">
        <v>701</v>
      </c>
      <c r="J334" s="147" t="s">
        <v>55</v>
      </c>
      <c r="K334" s="297">
        <f>271721600+1442300-4000000</f>
        <v>269163900</v>
      </c>
      <c r="L334" s="221">
        <v>269163900</v>
      </c>
      <c r="M334" s="276" t="str">
        <f t="shared" si="10"/>
        <v>-</v>
      </c>
      <c r="N334" s="91"/>
      <c r="O334" s="91"/>
      <c r="P334" s="91"/>
      <c r="Q334" s="91"/>
      <c r="R334" s="91"/>
      <c r="S334" s="91"/>
      <c r="T334" s="91"/>
      <c r="U334" s="91"/>
      <c r="V334" s="91"/>
    </row>
    <row r="335" spans="1:22" s="10" customFormat="1" ht="22.5">
      <c r="A335" s="196" t="s">
        <v>407</v>
      </c>
      <c r="B335" s="197" t="s">
        <v>253</v>
      </c>
      <c r="C335" s="145" t="s">
        <v>328</v>
      </c>
      <c r="D335" s="146" t="s">
        <v>54</v>
      </c>
      <c r="E335" s="146" t="s">
        <v>1400</v>
      </c>
      <c r="F335" s="146" t="s">
        <v>246</v>
      </c>
      <c r="G335" s="146" t="s">
        <v>1356</v>
      </c>
      <c r="H335" s="146" t="s">
        <v>673</v>
      </c>
      <c r="I335" s="146" t="s">
        <v>408</v>
      </c>
      <c r="J335" s="147" t="s">
        <v>55</v>
      </c>
      <c r="K335" s="299">
        <v>48792000</v>
      </c>
      <c r="L335" s="221">
        <v>48792000</v>
      </c>
      <c r="M335" s="275" t="str">
        <f t="shared" si="10"/>
        <v>-</v>
      </c>
      <c r="N335" s="91"/>
      <c r="O335" s="91"/>
      <c r="P335" s="91"/>
      <c r="Q335" s="91"/>
      <c r="R335" s="91"/>
      <c r="S335" s="91"/>
      <c r="T335" s="91"/>
      <c r="U335" s="91"/>
      <c r="V335" s="91"/>
    </row>
    <row r="336" spans="1:22" s="10" customFormat="1" ht="22.5">
      <c r="A336" s="196" t="s">
        <v>409</v>
      </c>
      <c r="B336" s="197" t="s">
        <v>253</v>
      </c>
      <c r="C336" s="145" t="s">
        <v>1034</v>
      </c>
      <c r="D336" s="146" t="s">
        <v>54</v>
      </c>
      <c r="E336" s="146" t="s">
        <v>1400</v>
      </c>
      <c r="F336" s="146" t="s">
        <v>246</v>
      </c>
      <c r="G336" s="146" t="s">
        <v>1356</v>
      </c>
      <c r="H336" s="146" t="s">
        <v>673</v>
      </c>
      <c r="I336" s="146" t="s">
        <v>410</v>
      </c>
      <c r="J336" s="147" t="s">
        <v>55</v>
      </c>
      <c r="K336" s="299">
        <f>2651900+97700+169300+225100</f>
        <v>3144000</v>
      </c>
      <c r="L336" s="221">
        <v>3144000</v>
      </c>
      <c r="M336" s="276" t="str">
        <f t="shared" si="10"/>
        <v>-</v>
      </c>
      <c r="N336" s="91"/>
      <c r="O336" s="91"/>
      <c r="P336" s="91"/>
      <c r="Q336" s="91"/>
      <c r="R336" s="91"/>
      <c r="S336" s="91"/>
      <c r="T336" s="91"/>
      <c r="U336" s="91"/>
      <c r="V336" s="91"/>
    </row>
    <row r="337" spans="1:22" s="10" customFormat="1" ht="22.5">
      <c r="A337" s="196" t="s">
        <v>1653</v>
      </c>
      <c r="B337" s="197" t="s">
        <v>253</v>
      </c>
      <c r="C337" s="145" t="s">
        <v>712</v>
      </c>
      <c r="D337" s="146" t="s">
        <v>54</v>
      </c>
      <c r="E337" s="146" t="s">
        <v>1400</v>
      </c>
      <c r="F337" s="146" t="s">
        <v>246</v>
      </c>
      <c r="G337" s="146" t="s">
        <v>1356</v>
      </c>
      <c r="H337" s="146" t="s">
        <v>673</v>
      </c>
      <c r="I337" s="146" t="s">
        <v>1654</v>
      </c>
      <c r="J337" s="147" t="s">
        <v>55</v>
      </c>
      <c r="K337" s="297">
        <f>9439200-3916480-101200-390665</f>
        <v>5030855</v>
      </c>
      <c r="L337" s="221">
        <v>4798635.58</v>
      </c>
      <c r="M337" s="275">
        <f t="shared" si="10"/>
        <v>232219.41999999993</v>
      </c>
      <c r="N337" s="91"/>
      <c r="O337" s="91"/>
      <c r="P337" s="91"/>
      <c r="Q337" s="91"/>
      <c r="R337" s="91"/>
      <c r="S337" s="91"/>
      <c r="T337" s="91"/>
      <c r="U337" s="91"/>
      <c r="V337" s="91"/>
    </row>
    <row r="338" spans="1:22" s="10" customFormat="1" ht="45">
      <c r="A338" s="181" t="s">
        <v>927</v>
      </c>
      <c r="B338" s="135" t="s">
        <v>253</v>
      </c>
      <c r="C338" s="140" t="s">
        <v>712</v>
      </c>
      <c r="D338" s="141" t="s">
        <v>54</v>
      </c>
      <c r="E338" s="141" t="s">
        <v>1400</v>
      </c>
      <c r="F338" s="141" t="s">
        <v>246</v>
      </c>
      <c r="G338" s="141" t="s">
        <v>1321</v>
      </c>
      <c r="H338" s="141" t="s">
        <v>1394</v>
      </c>
      <c r="I338" s="141" t="s">
        <v>1395</v>
      </c>
      <c r="J338" s="142" t="s">
        <v>55</v>
      </c>
      <c r="K338" s="275">
        <f>K339</f>
        <v>8093800</v>
      </c>
      <c r="L338" s="275">
        <f>L339</f>
        <v>7093800</v>
      </c>
      <c r="M338" s="275">
        <f t="shared" si="10"/>
        <v>1000000</v>
      </c>
      <c r="N338" s="91"/>
      <c r="O338" s="91"/>
      <c r="P338" s="91"/>
      <c r="Q338" s="91"/>
      <c r="R338" s="91"/>
      <c r="S338" s="91"/>
      <c r="T338" s="91"/>
      <c r="U338" s="91"/>
      <c r="V338" s="91"/>
    </row>
    <row r="339" spans="1:22" s="10" customFormat="1" ht="45">
      <c r="A339" s="182" t="s">
        <v>928</v>
      </c>
      <c r="B339" s="144" t="s">
        <v>253</v>
      </c>
      <c r="C339" s="145" t="s">
        <v>712</v>
      </c>
      <c r="D339" s="146" t="s">
        <v>54</v>
      </c>
      <c r="E339" s="146" t="s">
        <v>1400</v>
      </c>
      <c r="F339" s="146" t="s">
        <v>246</v>
      </c>
      <c r="G339" s="146" t="s">
        <v>1321</v>
      </c>
      <c r="H339" s="146" t="s">
        <v>673</v>
      </c>
      <c r="I339" s="146" t="s">
        <v>1395</v>
      </c>
      <c r="J339" s="147" t="s">
        <v>55</v>
      </c>
      <c r="K339" s="297">
        <f>9593800-1500000</f>
        <v>8093800</v>
      </c>
      <c r="L339" s="221">
        <v>7093800</v>
      </c>
      <c r="M339" s="276">
        <f t="shared" si="10"/>
        <v>1000000</v>
      </c>
      <c r="N339" s="91"/>
      <c r="O339" s="91"/>
      <c r="P339" s="91"/>
      <c r="Q339" s="91"/>
      <c r="R339" s="91"/>
      <c r="S339" s="91"/>
      <c r="T339" s="91"/>
      <c r="U339" s="91"/>
      <c r="V339" s="91"/>
    </row>
    <row r="340" spans="1:22" s="10" customFormat="1" ht="33.75">
      <c r="A340" s="190" t="s">
        <v>929</v>
      </c>
      <c r="B340" s="135" t="s">
        <v>253</v>
      </c>
      <c r="C340" s="140" t="s">
        <v>712</v>
      </c>
      <c r="D340" s="141" t="s">
        <v>54</v>
      </c>
      <c r="E340" s="141" t="s">
        <v>1400</v>
      </c>
      <c r="F340" s="141" t="s">
        <v>1306</v>
      </c>
      <c r="G340" s="141" t="s">
        <v>934</v>
      </c>
      <c r="H340" s="141" t="s">
        <v>1394</v>
      </c>
      <c r="I340" s="141" t="s">
        <v>1395</v>
      </c>
      <c r="J340" s="142" t="s">
        <v>55</v>
      </c>
      <c r="K340" s="275">
        <f>K341</f>
        <v>11880750</v>
      </c>
      <c r="L340" s="275">
        <f>L341</f>
        <v>11531225</v>
      </c>
      <c r="M340" s="276">
        <f>IF(K340-L340&gt;0,K340-L340,"-")</f>
        <v>349525</v>
      </c>
      <c r="N340" s="91"/>
      <c r="O340" s="91"/>
      <c r="P340" s="91"/>
      <c r="Q340" s="91"/>
      <c r="R340" s="91"/>
      <c r="S340" s="91"/>
      <c r="T340" s="91"/>
      <c r="U340" s="91"/>
      <c r="V340" s="91"/>
    </row>
    <row r="341" spans="1:13" ht="33.75">
      <c r="A341" s="201" t="s">
        <v>930</v>
      </c>
      <c r="B341" s="144" t="s">
        <v>253</v>
      </c>
      <c r="C341" s="145" t="s">
        <v>712</v>
      </c>
      <c r="D341" s="146" t="s">
        <v>54</v>
      </c>
      <c r="E341" s="146" t="s">
        <v>1400</v>
      </c>
      <c r="F341" s="146" t="s">
        <v>1306</v>
      </c>
      <c r="G341" s="146" t="s">
        <v>934</v>
      </c>
      <c r="H341" s="146" t="s">
        <v>673</v>
      </c>
      <c r="I341" s="146" t="s">
        <v>1395</v>
      </c>
      <c r="J341" s="147" t="s">
        <v>55</v>
      </c>
      <c r="K341" s="299">
        <f>8743200+2622900+514650</f>
        <v>11880750</v>
      </c>
      <c r="L341" s="221">
        <v>11531225</v>
      </c>
      <c r="M341" s="276">
        <f aca="true" t="shared" si="11" ref="M341:M374">IF(K341-L341&gt;0,K341-L341,"-")</f>
        <v>349525</v>
      </c>
    </row>
    <row r="342" spans="1:13" ht="22.5">
      <c r="A342" s="181" t="s">
        <v>1384</v>
      </c>
      <c r="B342" s="135" t="s">
        <v>253</v>
      </c>
      <c r="C342" s="140" t="s">
        <v>1034</v>
      </c>
      <c r="D342" s="141" t="s">
        <v>54</v>
      </c>
      <c r="E342" s="141" t="s">
        <v>1400</v>
      </c>
      <c r="F342" s="141" t="s">
        <v>1306</v>
      </c>
      <c r="G342" s="141" t="s">
        <v>455</v>
      </c>
      <c r="H342" s="141" t="s">
        <v>1394</v>
      </c>
      <c r="I342" s="141" t="s">
        <v>1395</v>
      </c>
      <c r="J342" s="142" t="s">
        <v>55</v>
      </c>
      <c r="K342" s="275">
        <f>K343</f>
        <v>7983925.59</v>
      </c>
      <c r="L342" s="275">
        <f>L343</f>
        <v>7764121.45</v>
      </c>
      <c r="M342" s="276">
        <f t="shared" si="11"/>
        <v>219804.13999999966</v>
      </c>
    </row>
    <row r="343" spans="1:13" ht="22.5">
      <c r="A343" s="182" t="s">
        <v>1385</v>
      </c>
      <c r="B343" s="144" t="s">
        <v>253</v>
      </c>
      <c r="C343" s="150" t="s">
        <v>1034</v>
      </c>
      <c r="D343" s="151" t="s">
        <v>54</v>
      </c>
      <c r="E343" s="151" t="s">
        <v>1400</v>
      </c>
      <c r="F343" s="151" t="s">
        <v>1306</v>
      </c>
      <c r="G343" s="151" t="s">
        <v>455</v>
      </c>
      <c r="H343" s="151" t="s">
        <v>673</v>
      </c>
      <c r="I343" s="151" t="s">
        <v>1395</v>
      </c>
      <c r="J343" s="152" t="s">
        <v>55</v>
      </c>
      <c r="K343" s="299">
        <f>7139000+676479.3+168446.29</f>
        <v>7983925.59</v>
      </c>
      <c r="L343" s="221">
        <v>7764121.45</v>
      </c>
      <c r="M343" s="276">
        <f>IF(K343-L343&gt;0,K343-L343,"-")</f>
        <v>219804.13999999966</v>
      </c>
    </row>
    <row r="344" spans="1:13" ht="33.75">
      <c r="A344" s="268" t="s">
        <v>1655</v>
      </c>
      <c r="B344" s="154" t="s">
        <v>253</v>
      </c>
      <c r="C344" s="155" t="s">
        <v>1034</v>
      </c>
      <c r="D344" s="156" t="s">
        <v>54</v>
      </c>
      <c r="E344" s="156" t="s">
        <v>1400</v>
      </c>
      <c r="F344" s="156" t="s">
        <v>1306</v>
      </c>
      <c r="G344" s="156" t="s">
        <v>1039</v>
      </c>
      <c r="H344" s="156" t="s">
        <v>1394</v>
      </c>
      <c r="I344" s="156" t="s">
        <v>1395</v>
      </c>
      <c r="J344" s="157" t="s">
        <v>55</v>
      </c>
      <c r="K344" s="275">
        <f>K345</f>
        <v>235000</v>
      </c>
      <c r="L344" s="275">
        <f>L345</f>
        <v>235000</v>
      </c>
      <c r="M344" s="276" t="str">
        <f t="shared" si="11"/>
        <v>-</v>
      </c>
    </row>
    <row r="345" spans="1:13" ht="33.75">
      <c r="A345" s="199" t="s">
        <v>1656</v>
      </c>
      <c r="B345" s="197" t="s">
        <v>253</v>
      </c>
      <c r="C345" s="150" t="s">
        <v>1034</v>
      </c>
      <c r="D345" s="151" t="s">
        <v>54</v>
      </c>
      <c r="E345" s="151" t="s">
        <v>1400</v>
      </c>
      <c r="F345" s="151" t="s">
        <v>1306</v>
      </c>
      <c r="G345" s="151" t="s">
        <v>1039</v>
      </c>
      <c r="H345" s="151" t="s">
        <v>673</v>
      </c>
      <c r="I345" s="151" t="s">
        <v>1395</v>
      </c>
      <c r="J345" s="152" t="s">
        <v>55</v>
      </c>
      <c r="K345" s="221">
        <v>235000</v>
      </c>
      <c r="L345" s="221">
        <v>235000</v>
      </c>
      <c r="M345" s="276" t="str">
        <f t="shared" si="11"/>
        <v>-</v>
      </c>
    </row>
    <row r="346" spans="1:13" ht="22.5">
      <c r="A346" s="268" t="s">
        <v>106</v>
      </c>
      <c r="B346" s="154" t="s">
        <v>253</v>
      </c>
      <c r="C346" s="155" t="s">
        <v>714</v>
      </c>
      <c r="D346" s="156" t="s">
        <v>54</v>
      </c>
      <c r="E346" s="156" t="s">
        <v>1400</v>
      </c>
      <c r="F346" s="156" t="s">
        <v>1306</v>
      </c>
      <c r="G346" s="156" t="s">
        <v>456</v>
      </c>
      <c r="H346" s="156" t="s">
        <v>1394</v>
      </c>
      <c r="I346" s="156" t="s">
        <v>1395</v>
      </c>
      <c r="J346" s="157" t="s">
        <v>55</v>
      </c>
      <c r="K346" s="275">
        <f>K347</f>
        <v>8350400</v>
      </c>
      <c r="L346" s="275">
        <f>L347</f>
        <v>8350400</v>
      </c>
      <c r="M346" s="276"/>
    </row>
    <row r="347" spans="1:13" ht="22.5">
      <c r="A347" s="199" t="s">
        <v>1383</v>
      </c>
      <c r="B347" s="197" t="s">
        <v>253</v>
      </c>
      <c r="C347" s="150" t="s">
        <v>714</v>
      </c>
      <c r="D347" s="151" t="s">
        <v>54</v>
      </c>
      <c r="E347" s="151" t="s">
        <v>1400</v>
      </c>
      <c r="F347" s="151" t="s">
        <v>1306</v>
      </c>
      <c r="G347" s="151" t="s">
        <v>456</v>
      </c>
      <c r="H347" s="151" t="s">
        <v>673</v>
      </c>
      <c r="I347" s="151" t="s">
        <v>1395</v>
      </c>
      <c r="J347" s="152" t="s">
        <v>55</v>
      </c>
      <c r="K347" s="221">
        <v>8350400</v>
      </c>
      <c r="L347" s="221">
        <v>8350400</v>
      </c>
      <c r="M347" s="275" t="str">
        <f>IF(K347-L347&gt;0,K347-L347,"-")</f>
        <v>-</v>
      </c>
    </row>
    <row r="348" spans="1:13" ht="15">
      <c r="A348" s="268" t="s">
        <v>512</v>
      </c>
      <c r="B348" s="154" t="s">
        <v>253</v>
      </c>
      <c r="C348" s="155" t="s">
        <v>1392</v>
      </c>
      <c r="D348" s="156" t="s">
        <v>54</v>
      </c>
      <c r="E348" s="156" t="s">
        <v>1400</v>
      </c>
      <c r="F348" s="156" t="s">
        <v>1246</v>
      </c>
      <c r="G348" s="156" t="s">
        <v>1392</v>
      </c>
      <c r="H348" s="156" t="s">
        <v>1394</v>
      </c>
      <c r="I348" s="156" t="s">
        <v>1395</v>
      </c>
      <c r="J348" s="157" t="s">
        <v>55</v>
      </c>
      <c r="K348" s="275">
        <f>K349+K354</f>
        <v>135336408.39</v>
      </c>
      <c r="L348" s="275">
        <f>L349+L354</f>
        <v>130216088.07000001</v>
      </c>
      <c r="M348" s="276">
        <f t="shared" si="11"/>
        <v>5120320.319999978</v>
      </c>
    </row>
    <row r="349" spans="1:13" ht="33.75">
      <c r="A349" s="268" t="s">
        <v>513</v>
      </c>
      <c r="B349" s="154" t="s">
        <v>253</v>
      </c>
      <c r="C349" s="155" t="s">
        <v>1392</v>
      </c>
      <c r="D349" s="156" t="s">
        <v>54</v>
      </c>
      <c r="E349" s="156" t="s">
        <v>1400</v>
      </c>
      <c r="F349" s="156" t="s">
        <v>1246</v>
      </c>
      <c r="G349" s="156" t="s">
        <v>1028</v>
      </c>
      <c r="H349" s="156" t="s">
        <v>1394</v>
      </c>
      <c r="I349" s="156" t="s">
        <v>1395</v>
      </c>
      <c r="J349" s="157" t="s">
        <v>55</v>
      </c>
      <c r="K349" s="275">
        <f>K350</f>
        <v>132962708.39</v>
      </c>
      <c r="L349" s="275">
        <f>L350</f>
        <v>127842388.07000001</v>
      </c>
      <c r="M349" s="276">
        <f>IF(K349-L349&gt;0,K349-L349,"-")</f>
        <v>5120320.319999993</v>
      </c>
    </row>
    <row r="350" spans="1:13" ht="33.75">
      <c r="A350" s="199" t="s">
        <v>635</v>
      </c>
      <c r="B350" s="197" t="s">
        <v>253</v>
      </c>
      <c r="C350" s="150" t="s">
        <v>1392</v>
      </c>
      <c r="D350" s="151" t="s">
        <v>54</v>
      </c>
      <c r="E350" s="151" t="s">
        <v>1400</v>
      </c>
      <c r="F350" s="151" t="s">
        <v>1246</v>
      </c>
      <c r="G350" s="151" t="s">
        <v>1028</v>
      </c>
      <c r="H350" s="151" t="s">
        <v>673</v>
      </c>
      <c r="I350" s="151" t="s">
        <v>1395</v>
      </c>
      <c r="J350" s="152" t="s">
        <v>55</v>
      </c>
      <c r="K350" s="276">
        <f>K353+K352+K351</f>
        <v>132962708.39</v>
      </c>
      <c r="L350" s="276">
        <f>L353+L352+L351</f>
        <v>127842388.07000001</v>
      </c>
      <c r="M350" s="276">
        <f t="shared" si="11"/>
        <v>5120320.319999993</v>
      </c>
    </row>
    <row r="351" spans="1:13" ht="33.75">
      <c r="A351" s="199" t="s">
        <v>635</v>
      </c>
      <c r="B351" s="197" t="s">
        <v>253</v>
      </c>
      <c r="C351" s="150" t="s">
        <v>1034</v>
      </c>
      <c r="D351" s="151" t="s">
        <v>54</v>
      </c>
      <c r="E351" s="151" t="s">
        <v>1400</v>
      </c>
      <c r="F351" s="151" t="s">
        <v>1246</v>
      </c>
      <c r="G351" s="151" t="s">
        <v>1028</v>
      </c>
      <c r="H351" s="151" t="s">
        <v>673</v>
      </c>
      <c r="I351" s="151" t="s">
        <v>1395</v>
      </c>
      <c r="J351" s="152" t="s">
        <v>55</v>
      </c>
      <c r="K351" s="299">
        <v>313907.77</v>
      </c>
      <c r="L351" s="221">
        <v>313907.77</v>
      </c>
      <c r="M351" s="276" t="str">
        <f t="shared" si="11"/>
        <v>-</v>
      </c>
    </row>
    <row r="352" spans="1:13" ht="33.75">
      <c r="A352" s="199" t="s">
        <v>635</v>
      </c>
      <c r="B352" s="197" t="s">
        <v>253</v>
      </c>
      <c r="C352" s="150" t="s">
        <v>65</v>
      </c>
      <c r="D352" s="151" t="s">
        <v>54</v>
      </c>
      <c r="E352" s="151" t="s">
        <v>1400</v>
      </c>
      <c r="F352" s="151" t="s">
        <v>1246</v>
      </c>
      <c r="G352" s="151" t="s">
        <v>1028</v>
      </c>
      <c r="H352" s="151" t="s">
        <v>673</v>
      </c>
      <c r="I352" s="151" t="s">
        <v>1395</v>
      </c>
      <c r="J352" s="152" t="s">
        <v>55</v>
      </c>
      <c r="K352" s="297">
        <f>10432156.14+51634400+17973473.47</f>
        <v>80040029.61</v>
      </c>
      <c r="L352" s="221">
        <v>74919709.29</v>
      </c>
      <c r="M352" s="279">
        <f t="shared" si="11"/>
        <v>5120320.319999993</v>
      </c>
    </row>
    <row r="353" spans="1:13" ht="33.75">
      <c r="A353" s="199" t="s">
        <v>635</v>
      </c>
      <c r="B353" s="197" t="s">
        <v>253</v>
      </c>
      <c r="C353" s="150" t="s">
        <v>66</v>
      </c>
      <c r="D353" s="151" t="s">
        <v>54</v>
      </c>
      <c r="E353" s="151" t="s">
        <v>1400</v>
      </c>
      <c r="F353" s="151" t="s">
        <v>1246</v>
      </c>
      <c r="G353" s="151" t="s">
        <v>1028</v>
      </c>
      <c r="H353" s="151" t="s">
        <v>673</v>
      </c>
      <c r="I353" s="151" t="s">
        <v>1395</v>
      </c>
      <c r="J353" s="152" t="s">
        <v>55</v>
      </c>
      <c r="K353" s="299">
        <f>52613071.58-4300.57</f>
        <v>52608771.01</v>
      </c>
      <c r="L353" s="221">
        <v>52608771.01</v>
      </c>
      <c r="M353" s="279" t="str">
        <f t="shared" si="11"/>
        <v>-</v>
      </c>
    </row>
    <row r="354" spans="1:13" ht="15">
      <c r="A354" s="265" t="s">
        <v>2082</v>
      </c>
      <c r="B354" s="154" t="s">
        <v>253</v>
      </c>
      <c r="C354" s="155" t="s">
        <v>1392</v>
      </c>
      <c r="D354" s="156" t="s">
        <v>54</v>
      </c>
      <c r="E354" s="156" t="s">
        <v>1400</v>
      </c>
      <c r="F354" s="156" t="s">
        <v>2085</v>
      </c>
      <c r="G354" s="156" t="s">
        <v>730</v>
      </c>
      <c r="H354" s="156" t="s">
        <v>1394</v>
      </c>
      <c r="I354" s="156" t="s">
        <v>1395</v>
      </c>
      <c r="J354" s="157" t="s">
        <v>55</v>
      </c>
      <c r="K354" s="275">
        <f>K355</f>
        <v>2373700</v>
      </c>
      <c r="L354" s="275">
        <f>L355</f>
        <v>2373700</v>
      </c>
      <c r="M354" s="280" t="str">
        <f t="shared" si="11"/>
        <v>-</v>
      </c>
    </row>
    <row r="355" spans="1:13" ht="22.5">
      <c r="A355" s="261" t="s">
        <v>2083</v>
      </c>
      <c r="B355" s="197" t="s">
        <v>253</v>
      </c>
      <c r="C355" s="150" t="s">
        <v>1392</v>
      </c>
      <c r="D355" s="151" t="s">
        <v>54</v>
      </c>
      <c r="E355" s="151" t="s">
        <v>1400</v>
      </c>
      <c r="F355" s="151" t="s">
        <v>2085</v>
      </c>
      <c r="G355" s="151" t="s">
        <v>730</v>
      </c>
      <c r="H355" s="151" t="s">
        <v>673</v>
      </c>
      <c r="I355" s="151" t="s">
        <v>1395</v>
      </c>
      <c r="J355" s="152" t="s">
        <v>55</v>
      </c>
      <c r="K355" s="276">
        <f>K356+K357</f>
        <v>2373700</v>
      </c>
      <c r="L355" s="276">
        <f>L356+L357</f>
        <v>2373700</v>
      </c>
      <c r="M355" s="280" t="str">
        <f>IF(K355-L355&gt;0,K355-L355,"-")</f>
        <v>-</v>
      </c>
    </row>
    <row r="356" spans="1:13" ht="45">
      <c r="A356" s="269" t="s">
        <v>2084</v>
      </c>
      <c r="B356" s="197" t="s">
        <v>253</v>
      </c>
      <c r="C356" s="150" t="s">
        <v>1034</v>
      </c>
      <c r="D356" s="151" t="s">
        <v>54</v>
      </c>
      <c r="E356" s="151" t="s">
        <v>1400</v>
      </c>
      <c r="F356" s="151" t="s">
        <v>2085</v>
      </c>
      <c r="G356" s="151" t="s">
        <v>730</v>
      </c>
      <c r="H356" s="151" t="s">
        <v>673</v>
      </c>
      <c r="I356" s="151" t="s">
        <v>2086</v>
      </c>
      <c r="J356" s="152" t="s">
        <v>55</v>
      </c>
      <c r="K356" s="221">
        <v>200000</v>
      </c>
      <c r="L356" s="221">
        <v>200000</v>
      </c>
      <c r="M356" s="280" t="str">
        <f t="shared" si="11"/>
        <v>-</v>
      </c>
    </row>
    <row r="357" spans="1:13" ht="45">
      <c r="A357" s="269" t="s">
        <v>2253</v>
      </c>
      <c r="B357" s="197" t="s">
        <v>253</v>
      </c>
      <c r="C357" s="150" t="s">
        <v>712</v>
      </c>
      <c r="D357" s="151" t="s">
        <v>54</v>
      </c>
      <c r="E357" s="151" t="s">
        <v>1400</v>
      </c>
      <c r="F357" s="151" t="s">
        <v>2085</v>
      </c>
      <c r="G357" s="151" t="s">
        <v>730</v>
      </c>
      <c r="H357" s="151" t="s">
        <v>673</v>
      </c>
      <c r="I357" s="151" t="s">
        <v>2252</v>
      </c>
      <c r="J357" s="152" t="s">
        <v>55</v>
      </c>
      <c r="K357" s="299">
        <v>2173700</v>
      </c>
      <c r="L357" s="221">
        <v>2173700</v>
      </c>
      <c r="M357" s="280" t="str">
        <f t="shared" si="11"/>
        <v>-</v>
      </c>
    </row>
    <row r="358" spans="1:13" ht="15">
      <c r="A358" s="268" t="s">
        <v>1449</v>
      </c>
      <c r="B358" s="154" t="s">
        <v>253</v>
      </c>
      <c r="C358" s="155" t="s">
        <v>1392</v>
      </c>
      <c r="D358" s="270" t="s">
        <v>54</v>
      </c>
      <c r="E358" s="270" t="s">
        <v>1027</v>
      </c>
      <c r="F358" s="270" t="s">
        <v>1394</v>
      </c>
      <c r="G358" s="270" t="s">
        <v>1392</v>
      </c>
      <c r="H358" s="270" t="s">
        <v>1394</v>
      </c>
      <c r="I358" s="270" t="s">
        <v>1395</v>
      </c>
      <c r="J358" s="271" t="s">
        <v>1392</v>
      </c>
      <c r="K358" s="275">
        <f>K359</f>
        <v>138778291</v>
      </c>
      <c r="L358" s="275">
        <f>L359</f>
        <v>138778291</v>
      </c>
      <c r="M358" s="280" t="str">
        <f t="shared" si="11"/>
        <v>-</v>
      </c>
    </row>
    <row r="359" spans="1:13" ht="22.5">
      <c r="A359" s="199" t="s">
        <v>1450</v>
      </c>
      <c r="B359" s="197" t="s">
        <v>253</v>
      </c>
      <c r="C359" s="150" t="s">
        <v>1392</v>
      </c>
      <c r="D359" s="272" t="s">
        <v>54</v>
      </c>
      <c r="E359" s="272" t="s">
        <v>1027</v>
      </c>
      <c r="F359" s="272" t="s">
        <v>673</v>
      </c>
      <c r="G359" s="272" t="s">
        <v>1392</v>
      </c>
      <c r="H359" s="272" t="s">
        <v>673</v>
      </c>
      <c r="I359" s="272" t="s">
        <v>1395</v>
      </c>
      <c r="J359" s="273" t="s">
        <v>53</v>
      </c>
      <c r="K359" s="276">
        <f>K361+K362+K360</f>
        <v>138778291</v>
      </c>
      <c r="L359" s="276">
        <f>L361+L362+L360</f>
        <v>138778291</v>
      </c>
      <c r="M359" s="280" t="str">
        <f t="shared" si="11"/>
        <v>-</v>
      </c>
    </row>
    <row r="360" spans="1:13" ht="22.5">
      <c r="A360" s="199" t="s">
        <v>1451</v>
      </c>
      <c r="B360" s="197" t="s">
        <v>253</v>
      </c>
      <c r="C360" s="150" t="s">
        <v>1034</v>
      </c>
      <c r="D360" s="272" t="s">
        <v>54</v>
      </c>
      <c r="E360" s="272" t="s">
        <v>1027</v>
      </c>
      <c r="F360" s="272" t="s">
        <v>673</v>
      </c>
      <c r="G360" s="272" t="s">
        <v>1452</v>
      </c>
      <c r="H360" s="272" t="s">
        <v>673</v>
      </c>
      <c r="I360" s="272" t="s">
        <v>1395</v>
      </c>
      <c r="J360" s="273" t="s">
        <v>53</v>
      </c>
      <c r="K360" s="299">
        <v>11000000</v>
      </c>
      <c r="L360" s="221">
        <v>11000000</v>
      </c>
      <c r="M360" s="280" t="str">
        <f t="shared" si="11"/>
        <v>-</v>
      </c>
    </row>
    <row r="361" spans="1:13" ht="22.5">
      <c r="A361" s="199" t="s">
        <v>1451</v>
      </c>
      <c r="B361" s="197" t="s">
        <v>253</v>
      </c>
      <c r="C361" s="150" t="s">
        <v>65</v>
      </c>
      <c r="D361" s="272" t="s">
        <v>54</v>
      </c>
      <c r="E361" s="272" t="s">
        <v>1027</v>
      </c>
      <c r="F361" s="272" t="s">
        <v>673</v>
      </c>
      <c r="G361" s="272" t="s">
        <v>1452</v>
      </c>
      <c r="H361" s="272" t="s">
        <v>673</v>
      </c>
      <c r="I361" s="272" t="s">
        <v>1395</v>
      </c>
      <c r="J361" s="273" t="s">
        <v>53</v>
      </c>
      <c r="K361" s="299">
        <v>125000000</v>
      </c>
      <c r="L361" s="221">
        <v>125000000</v>
      </c>
      <c r="M361" s="280" t="str">
        <f t="shared" si="11"/>
        <v>-</v>
      </c>
    </row>
    <row r="362" spans="1:13" ht="22.5">
      <c r="A362" s="199" t="s">
        <v>1451</v>
      </c>
      <c r="B362" s="197" t="s">
        <v>253</v>
      </c>
      <c r="C362" s="145" t="s">
        <v>712</v>
      </c>
      <c r="D362" s="204" t="s">
        <v>54</v>
      </c>
      <c r="E362" s="204" t="s">
        <v>1027</v>
      </c>
      <c r="F362" s="204" t="s">
        <v>673</v>
      </c>
      <c r="G362" s="204" t="s">
        <v>1452</v>
      </c>
      <c r="H362" s="204" t="s">
        <v>673</v>
      </c>
      <c r="I362" s="204" t="s">
        <v>1395</v>
      </c>
      <c r="J362" s="205" t="s">
        <v>53</v>
      </c>
      <c r="K362" s="297">
        <f>2171779.8+406125+200386.2</f>
        <v>2778291</v>
      </c>
      <c r="L362" s="221">
        <v>2778291</v>
      </c>
      <c r="M362" s="280" t="str">
        <f t="shared" si="11"/>
        <v>-</v>
      </c>
    </row>
    <row r="363" spans="1:13" ht="45">
      <c r="A363" s="191" t="s">
        <v>1388</v>
      </c>
      <c r="B363" s="135" t="s">
        <v>253</v>
      </c>
      <c r="C363" s="140" t="s">
        <v>1392</v>
      </c>
      <c r="D363" s="202" t="s">
        <v>54</v>
      </c>
      <c r="E363" s="202" t="s">
        <v>1030</v>
      </c>
      <c r="F363" s="202" t="s">
        <v>1394</v>
      </c>
      <c r="G363" s="202" t="s">
        <v>1392</v>
      </c>
      <c r="H363" s="202" t="s">
        <v>1394</v>
      </c>
      <c r="I363" s="202" t="s">
        <v>1395</v>
      </c>
      <c r="J363" s="203" t="s">
        <v>1392</v>
      </c>
      <c r="K363" s="279">
        <f>K364+K370</f>
        <v>8112327.17</v>
      </c>
      <c r="L363" s="279">
        <f>L364+L370</f>
        <v>8112327.17</v>
      </c>
      <c r="M363" s="280" t="str">
        <f t="shared" si="11"/>
        <v>-</v>
      </c>
    </row>
    <row r="364" spans="1:13" ht="45">
      <c r="A364" s="191" t="s">
        <v>593</v>
      </c>
      <c r="B364" s="135" t="s">
        <v>253</v>
      </c>
      <c r="C364" s="140" t="s">
        <v>1392</v>
      </c>
      <c r="D364" s="202" t="s">
        <v>54</v>
      </c>
      <c r="E364" s="202" t="s">
        <v>1030</v>
      </c>
      <c r="F364" s="202" t="s">
        <v>1394</v>
      </c>
      <c r="G364" s="202" t="s">
        <v>1392</v>
      </c>
      <c r="H364" s="202" t="s">
        <v>1394</v>
      </c>
      <c r="I364" s="202" t="s">
        <v>1395</v>
      </c>
      <c r="J364" s="203" t="s">
        <v>55</v>
      </c>
      <c r="K364" s="279">
        <f>K365</f>
        <v>675763.52</v>
      </c>
      <c r="L364" s="279">
        <f>L365</f>
        <v>675763.52</v>
      </c>
      <c r="M364" s="280" t="str">
        <f t="shared" si="11"/>
        <v>-</v>
      </c>
    </row>
    <row r="365" spans="1:13" ht="33.75">
      <c r="A365" s="201" t="s">
        <v>1403</v>
      </c>
      <c r="B365" s="144" t="s">
        <v>253</v>
      </c>
      <c r="C365" s="145" t="s">
        <v>1392</v>
      </c>
      <c r="D365" s="204" t="s">
        <v>54</v>
      </c>
      <c r="E365" s="204" t="s">
        <v>1030</v>
      </c>
      <c r="F365" s="204" t="s">
        <v>1394</v>
      </c>
      <c r="G365" s="204" t="s">
        <v>1392</v>
      </c>
      <c r="H365" s="204" t="s">
        <v>673</v>
      </c>
      <c r="I365" s="204" t="s">
        <v>1395</v>
      </c>
      <c r="J365" s="205" t="s">
        <v>55</v>
      </c>
      <c r="K365" s="280">
        <f>K366+K368</f>
        <v>675763.52</v>
      </c>
      <c r="L365" s="280">
        <f>L366+L368</f>
        <v>675763.52</v>
      </c>
      <c r="M365" s="280" t="str">
        <f t="shared" si="11"/>
        <v>-</v>
      </c>
    </row>
    <row r="366" spans="1:13" ht="33.75">
      <c r="A366" s="201" t="s">
        <v>1976</v>
      </c>
      <c r="B366" s="144" t="s">
        <v>253</v>
      </c>
      <c r="C366" s="150" t="s">
        <v>1392</v>
      </c>
      <c r="D366" s="151" t="s">
        <v>54</v>
      </c>
      <c r="E366" s="151" t="s">
        <v>1030</v>
      </c>
      <c r="F366" s="151" t="s">
        <v>1306</v>
      </c>
      <c r="G366" s="151" t="s">
        <v>455</v>
      </c>
      <c r="H366" s="151" t="s">
        <v>673</v>
      </c>
      <c r="I366" s="151" t="s">
        <v>1395</v>
      </c>
      <c r="J366" s="152" t="s">
        <v>55</v>
      </c>
      <c r="K366" s="280">
        <f>K367</f>
        <v>2127.02</v>
      </c>
      <c r="L366" s="222">
        <v>2127.02</v>
      </c>
      <c r="M366" s="280" t="str">
        <f t="shared" si="11"/>
        <v>-</v>
      </c>
    </row>
    <row r="367" spans="1:13" ht="33.75">
      <c r="A367" s="201" t="s">
        <v>1976</v>
      </c>
      <c r="B367" s="144" t="s">
        <v>253</v>
      </c>
      <c r="C367" s="150" t="s">
        <v>1034</v>
      </c>
      <c r="D367" s="151" t="s">
        <v>54</v>
      </c>
      <c r="E367" s="151" t="s">
        <v>1030</v>
      </c>
      <c r="F367" s="151" t="s">
        <v>1306</v>
      </c>
      <c r="G367" s="151" t="s">
        <v>455</v>
      </c>
      <c r="H367" s="151" t="s">
        <v>673</v>
      </c>
      <c r="I367" s="151" t="s">
        <v>1395</v>
      </c>
      <c r="J367" s="152" t="s">
        <v>55</v>
      </c>
      <c r="K367" s="222">
        <v>2127.02</v>
      </c>
      <c r="L367" s="222">
        <v>2127.02</v>
      </c>
      <c r="M367" s="280" t="str">
        <f t="shared" si="11"/>
        <v>-</v>
      </c>
    </row>
    <row r="368" spans="1:13" ht="33.75">
      <c r="A368" s="201" t="s">
        <v>5</v>
      </c>
      <c r="B368" s="144" t="s">
        <v>253</v>
      </c>
      <c r="C368" s="145" t="s">
        <v>1392</v>
      </c>
      <c r="D368" s="146" t="s">
        <v>54</v>
      </c>
      <c r="E368" s="146" t="s">
        <v>1030</v>
      </c>
      <c r="F368" s="146" t="s">
        <v>1247</v>
      </c>
      <c r="G368" s="146" t="s">
        <v>253</v>
      </c>
      <c r="H368" s="146" t="s">
        <v>673</v>
      </c>
      <c r="I368" s="146" t="s">
        <v>1395</v>
      </c>
      <c r="J368" s="147" t="s">
        <v>55</v>
      </c>
      <c r="K368" s="280">
        <f>K369</f>
        <v>673636.5</v>
      </c>
      <c r="L368" s="280">
        <f>L369</f>
        <v>673636.5</v>
      </c>
      <c r="M368" s="280" t="str">
        <f t="shared" si="11"/>
        <v>-</v>
      </c>
    </row>
    <row r="369" spans="1:13" ht="33.75">
      <c r="A369" s="201" t="s">
        <v>5</v>
      </c>
      <c r="B369" s="144" t="s">
        <v>253</v>
      </c>
      <c r="C369" s="145" t="s">
        <v>1034</v>
      </c>
      <c r="D369" s="146" t="s">
        <v>54</v>
      </c>
      <c r="E369" s="146" t="s">
        <v>1030</v>
      </c>
      <c r="F369" s="146" t="s">
        <v>1247</v>
      </c>
      <c r="G369" s="146" t="s">
        <v>253</v>
      </c>
      <c r="H369" s="146" t="s">
        <v>673</v>
      </c>
      <c r="I369" s="146" t="s">
        <v>1395</v>
      </c>
      <c r="J369" s="147" t="s">
        <v>55</v>
      </c>
      <c r="K369" s="363">
        <f>659475.8+14160.7</f>
        <v>673636.5</v>
      </c>
      <c r="L369" s="222">
        <v>673636.5</v>
      </c>
      <c r="M369" s="280" t="str">
        <f t="shared" si="11"/>
        <v>-</v>
      </c>
    </row>
    <row r="370" spans="1:13" ht="22.5">
      <c r="A370" s="191" t="s">
        <v>1045</v>
      </c>
      <c r="B370" s="135" t="s">
        <v>253</v>
      </c>
      <c r="C370" s="140" t="s">
        <v>1392</v>
      </c>
      <c r="D370" s="141" t="s">
        <v>54</v>
      </c>
      <c r="E370" s="141" t="s">
        <v>1030</v>
      </c>
      <c r="F370" s="141" t="s">
        <v>1394</v>
      </c>
      <c r="G370" s="141" t="s">
        <v>1392</v>
      </c>
      <c r="H370" s="141" t="s">
        <v>1394</v>
      </c>
      <c r="I370" s="141" t="s">
        <v>1395</v>
      </c>
      <c r="J370" s="142" t="s">
        <v>53</v>
      </c>
      <c r="K370" s="279">
        <f aca="true" t="shared" si="12" ref="K370:L372">K371</f>
        <v>7436563.65</v>
      </c>
      <c r="L370" s="279">
        <f t="shared" si="12"/>
        <v>7436563.65</v>
      </c>
      <c r="M370" s="280" t="str">
        <f t="shared" si="11"/>
        <v>-</v>
      </c>
    </row>
    <row r="371" spans="1:13" ht="22.5">
      <c r="A371" s="191" t="s">
        <v>592</v>
      </c>
      <c r="B371" s="135" t="s">
        <v>253</v>
      </c>
      <c r="C371" s="140" t="s">
        <v>1392</v>
      </c>
      <c r="D371" s="141" t="s">
        <v>54</v>
      </c>
      <c r="E371" s="141" t="s">
        <v>1030</v>
      </c>
      <c r="F371" s="141" t="s">
        <v>673</v>
      </c>
      <c r="G371" s="141" t="s">
        <v>1392</v>
      </c>
      <c r="H371" s="141" t="s">
        <v>673</v>
      </c>
      <c r="I371" s="141" t="s">
        <v>1395</v>
      </c>
      <c r="J371" s="142" t="s">
        <v>53</v>
      </c>
      <c r="K371" s="279">
        <f t="shared" si="12"/>
        <v>7436563.65</v>
      </c>
      <c r="L371" s="279">
        <f t="shared" si="12"/>
        <v>7436563.65</v>
      </c>
      <c r="M371" s="280" t="str">
        <f t="shared" si="11"/>
        <v>-</v>
      </c>
    </row>
    <row r="372" spans="1:13" ht="22.5">
      <c r="A372" s="201" t="s">
        <v>1149</v>
      </c>
      <c r="B372" s="144" t="s">
        <v>253</v>
      </c>
      <c r="C372" s="145" t="s">
        <v>1392</v>
      </c>
      <c r="D372" s="146" t="s">
        <v>54</v>
      </c>
      <c r="E372" s="146" t="s">
        <v>1030</v>
      </c>
      <c r="F372" s="146" t="s">
        <v>673</v>
      </c>
      <c r="G372" s="146" t="s">
        <v>253</v>
      </c>
      <c r="H372" s="146" t="s">
        <v>673</v>
      </c>
      <c r="I372" s="146" t="s">
        <v>1395</v>
      </c>
      <c r="J372" s="147" t="s">
        <v>53</v>
      </c>
      <c r="K372" s="280">
        <f t="shared" si="12"/>
        <v>7436563.65</v>
      </c>
      <c r="L372" s="280">
        <f t="shared" si="12"/>
        <v>7436563.65</v>
      </c>
      <c r="M372" s="280" t="str">
        <f t="shared" si="11"/>
        <v>-</v>
      </c>
    </row>
    <row r="373" spans="1:13" ht="22.5">
      <c r="A373" s="201" t="s">
        <v>1149</v>
      </c>
      <c r="B373" s="144" t="s">
        <v>253</v>
      </c>
      <c r="C373" s="150" t="s">
        <v>712</v>
      </c>
      <c r="D373" s="151" t="s">
        <v>54</v>
      </c>
      <c r="E373" s="151" t="s">
        <v>1030</v>
      </c>
      <c r="F373" s="151" t="s">
        <v>673</v>
      </c>
      <c r="G373" s="151" t="s">
        <v>253</v>
      </c>
      <c r="H373" s="151" t="s">
        <v>673</v>
      </c>
      <c r="I373" s="151" t="s">
        <v>1395</v>
      </c>
      <c r="J373" s="152" t="s">
        <v>53</v>
      </c>
      <c r="K373" s="222">
        <v>7436563.65</v>
      </c>
      <c r="L373" s="222">
        <v>7436563.65</v>
      </c>
      <c r="M373" s="280" t="str">
        <f t="shared" si="11"/>
        <v>-</v>
      </c>
    </row>
    <row r="374" spans="1:13" ht="22.5">
      <c r="A374" s="181" t="s">
        <v>1024</v>
      </c>
      <c r="B374" s="135" t="s">
        <v>253</v>
      </c>
      <c r="C374" s="155" t="s">
        <v>1392</v>
      </c>
      <c r="D374" s="156" t="s">
        <v>54</v>
      </c>
      <c r="E374" s="156" t="s">
        <v>517</v>
      </c>
      <c r="F374" s="156" t="s">
        <v>1394</v>
      </c>
      <c r="G374" s="156" t="s">
        <v>1392</v>
      </c>
      <c r="H374" s="156" t="s">
        <v>1394</v>
      </c>
      <c r="I374" s="156" t="s">
        <v>1395</v>
      </c>
      <c r="J374" s="157" t="s">
        <v>1392</v>
      </c>
      <c r="K374" s="275">
        <f>K375</f>
        <v>-38618087.330000006</v>
      </c>
      <c r="L374" s="275">
        <f>L375</f>
        <v>-38593544.11000001</v>
      </c>
      <c r="M374" s="280" t="str">
        <f t="shared" si="11"/>
        <v>-</v>
      </c>
    </row>
    <row r="375" spans="1:13" ht="22.5">
      <c r="A375" s="182" t="s">
        <v>486</v>
      </c>
      <c r="B375" s="144" t="s">
        <v>253</v>
      </c>
      <c r="C375" s="150" t="s">
        <v>1392</v>
      </c>
      <c r="D375" s="151" t="s">
        <v>54</v>
      </c>
      <c r="E375" s="151" t="s">
        <v>517</v>
      </c>
      <c r="F375" s="151" t="s">
        <v>1394</v>
      </c>
      <c r="G375" s="151" t="s">
        <v>1392</v>
      </c>
      <c r="H375" s="151" t="s">
        <v>673</v>
      </c>
      <c r="I375" s="151" t="s">
        <v>1395</v>
      </c>
      <c r="J375" s="152" t="s">
        <v>55</v>
      </c>
      <c r="K375" s="276">
        <f>K376+K378</f>
        <v>-38618087.330000006</v>
      </c>
      <c r="L375" s="276">
        <f>L376+L378</f>
        <v>-38593544.11000001</v>
      </c>
      <c r="M375" s="276">
        <f aca="true" t="shared" si="13" ref="M375:M385">IF(K375-L375&lt;0,K375-L375,"-")</f>
        <v>-24543.219999998808</v>
      </c>
    </row>
    <row r="376" spans="1:13" ht="33.75">
      <c r="A376" s="182" t="s">
        <v>1657</v>
      </c>
      <c r="B376" s="144" t="s">
        <v>253</v>
      </c>
      <c r="C376" s="150" t="s">
        <v>1392</v>
      </c>
      <c r="D376" s="151" t="s">
        <v>54</v>
      </c>
      <c r="E376" s="151" t="s">
        <v>517</v>
      </c>
      <c r="F376" s="151" t="s">
        <v>1306</v>
      </c>
      <c r="G376" s="151" t="s">
        <v>455</v>
      </c>
      <c r="H376" s="151" t="s">
        <v>673</v>
      </c>
      <c r="I376" s="151" t="s">
        <v>1395</v>
      </c>
      <c r="J376" s="152" t="s">
        <v>55</v>
      </c>
      <c r="K376" s="276">
        <f>K377</f>
        <v>-6285.97</v>
      </c>
      <c r="L376" s="276">
        <f>L377</f>
        <v>-6285.97</v>
      </c>
      <c r="M376" s="276" t="str">
        <f t="shared" si="13"/>
        <v>-</v>
      </c>
    </row>
    <row r="377" spans="1:13" ht="33.75">
      <c r="A377" s="182" t="s">
        <v>1657</v>
      </c>
      <c r="B377" s="144" t="s">
        <v>253</v>
      </c>
      <c r="C377" s="150" t="s">
        <v>1034</v>
      </c>
      <c r="D377" s="151" t="s">
        <v>54</v>
      </c>
      <c r="E377" s="151" t="s">
        <v>517</v>
      </c>
      <c r="F377" s="151" t="s">
        <v>1306</v>
      </c>
      <c r="G377" s="151" t="s">
        <v>455</v>
      </c>
      <c r="H377" s="151" t="s">
        <v>673</v>
      </c>
      <c r="I377" s="151" t="s">
        <v>1395</v>
      </c>
      <c r="J377" s="152" t="s">
        <v>55</v>
      </c>
      <c r="K377" s="221">
        <v>-6285.97</v>
      </c>
      <c r="L377" s="221">
        <v>-6285.97</v>
      </c>
      <c r="M377" s="276" t="str">
        <f t="shared" si="13"/>
        <v>-</v>
      </c>
    </row>
    <row r="378" spans="1:13" ht="22.5">
      <c r="A378" s="182" t="s">
        <v>1248</v>
      </c>
      <c r="B378" s="144" t="s">
        <v>253</v>
      </c>
      <c r="C378" s="150" t="s">
        <v>1392</v>
      </c>
      <c r="D378" s="151" t="s">
        <v>54</v>
      </c>
      <c r="E378" s="151" t="s">
        <v>517</v>
      </c>
      <c r="F378" s="151" t="s">
        <v>1247</v>
      </c>
      <c r="G378" s="151" t="s">
        <v>253</v>
      </c>
      <c r="H378" s="151" t="s">
        <v>673</v>
      </c>
      <c r="I378" s="151" t="s">
        <v>1395</v>
      </c>
      <c r="J378" s="152" t="s">
        <v>55</v>
      </c>
      <c r="K378" s="276">
        <f>SUM(K379:K385)</f>
        <v>-38611801.36000001</v>
      </c>
      <c r="L378" s="276">
        <f>SUM(L379:L385)</f>
        <v>-38587258.14000001</v>
      </c>
      <c r="M378" s="276">
        <f t="shared" si="13"/>
        <v>-24543.219999998808</v>
      </c>
    </row>
    <row r="379" spans="1:13" ht="22.5">
      <c r="A379" s="182" t="s">
        <v>1248</v>
      </c>
      <c r="B379" s="144" t="s">
        <v>253</v>
      </c>
      <c r="C379" s="150" t="s">
        <v>1034</v>
      </c>
      <c r="D379" s="151" t="s">
        <v>54</v>
      </c>
      <c r="E379" s="151" t="s">
        <v>517</v>
      </c>
      <c r="F379" s="151" t="s">
        <v>1247</v>
      </c>
      <c r="G379" s="151" t="s">
        <v>253</v>
      </c>
      <c r="H379" s="151" t="s">
        <v>673</v>
      </c>
      <c r="I379" s="151" t="s">
        <v>1395</v>
      </c>
      <c r="J379" s="152" t="s">
        <v>55</v>
      </c>
      <c r="K379" s="221">
        <v>-31923.62</v>
      </c>
      <c r="L379" s="221">
        <v>-31923.62</v>
      </c>
      <c r="M379" s="276" t="str">
        <f t="shared" si="13"/>
        <v>-</v>
      </c>
    </row>
    <row r="380" spans="1:13" ht="22.5">
      <c r="A380" s="182" t="s">
        <v>1248</v>
      </c>
      <c r="B380" s="144" t="s">
        <v>253</v>
      </c>
      <c r="C380" s="150" t="s">
        <v>714</v>
      </c>
      <c r="D380" s="151" t="s">
        <v>54</v>
      </c>
      <c r="E380" s="151" t="s">
        <v>517</v>
      </c>
      <c r="F380" s="151" t="s">
        <v>1247</v>
      </c>
      <c r="G380" s="151" t="s">
        <v>253</v>
      </c>
      <c r="H380" s="151" t="s">
        <v>673</v>
      </c>
      <c r="I380" s="151" t="s">
        <v>1395</v>
      </c>
      <c r="J380" s="152" t="s">
        <v>55</v>
      </c>
      <c r="K380" s="299">
        <v>-1944</v>
      </c>
      <c r="L380" s="221">
        <v>-1944</v>
      </c>
      <c r="M380" s="276" t="str">
        <f t="shared" si="13"/>
        <v>-</v>
      </c>
    </row>
    <row r="381" spans="1:13" ht="22.5">
      <c r="A381" s="182" t="s">
        <v>1248</v>
      </c>
      <c r="B381" s="144" t="s">
        <v>253</v>
      </c>
      <c r="C381" s="223" t="s">
        <v>65</v>
      </c>
      <c r="D381" s="224" t="s">
        <v>54</v>
      </c>
      <c r="E381" s="224" t="s">
        <v>517</v>
      </c>
      <c r="F381" s="224" t="s">
        <v>1247</v>
      </c>
      <c r="G381" s="224" t="s">
        <v>253</v>
      </c>
      <c r="H381" s="224" t="s">
        <v>673</v>
      </c>
      <c r="I381" s="224" t="s">
        <v>1395</v>
      </c>
      <c r="J381" s="225" t="s">
        <v>55</v>
      </c>
      <c r="K381" s="299">
        <v>-29961858.97</v>
      </c>
      <c r="L381" s="221">
        <v>-29961858.97</v>
      </c>
      <c r="M381" s="276" t="str">
        <f t="shared" si="13"/>
        <v>-</v>
      </c>
    </row>
    <row r="382" spans="1:13" ht="22.5">
      <c r="A382" s="199" t="s">
        <v>1248</v>
      </c>
      <c r="B382" s="197" t="s">
        <v>253</v>
      </c>
      <c r="C382" s="223" t="s">
        <v>715</v>
      </c>
      <c r="D382" s="224" t="s">
        <v>54</v>
      </c>
      <c r="E382" s="224" t="s">
        <v>517</v>
      </c>
      <c r="F382" s="224" t="s">
        <v>1247</v>
      </c>
      <c r="G382" s="224" t="s">
        <v>253</v>
      </c>
      <c r="H382" s="224" t="s">
        <v>673</v>
      </c>
      <c r="I382" s="224" t="s">
        <v>1395</v>
      </c>
      <c r="J382" s="225" t="s">
        <v>55</v>
      </c>
      <c r="K382" s="299">
        <f>-1468032.38-139094</f>
        <v>-1607126.38</v>
      </c>
      <c r="L382" s="221">
        <v>-1601298.65</v>
      </c>
      <c r="M382" s="276">
        <f t="shared" si="13"/>
        <v>-5827.729999999981</v>
      </c>
    </row>
    <row r="383" spans="1:13" ht="22.5">
      <c r="A383" s="199" t="s">
        <v>1248</v>
      </c>
      <c r="B383" s="197" t="s">
        <v>253</v>
      </c>
      <c r="C383" s="223" t="s">
        <v>712</v>
      </c>
      <c r="D383" s="224" t="s">
        <v>54</v>
      </c>
      <c r="E383" s="224" t="s">
        <v>517</v>
      </c>
      <c r="F383" s="224" t="s">
        <v>1247</v>
      </c>
      <c r="G383" s="224" t="s">
        <v>253</v>
      </c>
      <c r="H383" s="224" t="s">
        <v>673</v>
      </c>
      <c r="I383" s="224" t="s">
        <v>1395</v>
      </c>
      <c r="J383" s="225" t="s">
        <v>55</v>
      </c>
      <c r="K383" s="299">
        <f>-6175367.81-666550</f>
        <v>-6841917.81</v>
      </c>
      <c r="L383" s="221">
        <v>-6823202.32</v>
      </c>
      <c r="M383" s="276">
        <f t="shared" si="13"/>
        <v>-18715.489999999292</v>
      </c>
    </row>
    <row r="384" spans="1:13" ht="22.5">
      <c r="A384" s="199" t="s">
        <v>1248</v>
      </c>
      <c r="B384" s="197" t="s">
        <v>253</v>
      </c>
      <c r="C384" s="223" t="s">
        <v>716</v>
      </c>
      <c r="D384" s="224" t="s">
        <v>54</v>
      </c>
      <c r="E384" s="224" t="s">
        <v>517</v>
      </c>
      <c r="F384" s="224" t="s">
        <v>1247</v>
      </c>
      <c r="G384" s="224" t="s">
        <v>253</v>
      </c>
      <c r="H384" s="224" t="s">
        <v>673</v>
      </c>
      <c r="I384" s="224" t="s">
        <v>1395</v>
      </c>
      <c r="J384" s="225" t="s">
        <v>55</v>
      </c>
      <c r="K384" s="221">
        <f>-124830.52-42200</f>
        <v>-167030.52000000002</v>
      </c>
      <c r="L384" s="221">
        <v>-167030.52</v>
      </c>
      <c r="M384" s="276">
        <f t="shared" si="13"/>
        <v>-2.9103830456733704E-11</v>
      </c>
    </row>
    <row r="385" spans="1:13" ht="22.5">
      <c r="A385" s="199" t="s">
        <v>1248</v>
      </c>
      <c r="B385" s="197" t="s">
        <v>253</v>
      </c>
      <c r="C385" s="224" t="s">
        <v>328</v>
      </c>
      <c r="D385" s="224" t="s">
        <v>54</v>
      </c>
      <c r="E385" s="224" t="s">
        <v>517</v>
      </c>
      <c r="F385" s="224" t="s">
        <v>1247</v>
      </c>
      <c r="G385" s="224" t="s">
        <v>253</v>
      </c>
      <c r="H385" s="224" t="s">
        <v>673</v>
      </c>
      <c r="I385" s="224" t="s">
        <v>1395</v>
      </c>
      <c r="J385" s="226" t="s">
        <v>55</v>
      </c>
      <c r="K385" s="221">
        <v>-0.06</v>
      </c>
      <c r="L385" s="221">
        <v>-0.06</v>
      </c>
      <c r="M385" s="276" t="str">
        <f t="shared" si="13"/>
        <v>-</v>
      </c>
    </row>
  </sheetData>
  <sheetProtection/>
  <autoFilter ref="A15:M385"/>
  <mergeCells count="4">
    <mergeCell ref="C14:J14"/>
    <mergeCell ref="A1:M1"/>
    <mergeCell ref="A12:M12"/>
    <mergeCell ref="C16:J16"/>
  </mergeCells>
  <printOptions horizontalCentered="1"/>
  <pageMargins left="0.7874015748031497" right="0.3937007874015748" top="0.1968503937007874" bottom="0.3937007874015748" header="0.1968503937007874" footer="0.1968503937007874"/>
  <pageSetup blackAndWhite="1" fitToHeight="0" fitToWidth="1" horizontalDpi="600" verticalDpi="600" orientation="portrait" paperSize="9" scale="60" r:id="rId1"/>
  <rowBreaks count="1" manualBreakCount="1">
    <brk id="179" max="12" man="1"/>
  </rowBreaks>
</worksheet>
</file>

<file path=xl/worksheets/sheet2.xml><?xml version="1.0" encoding="utf-8"?>
<worksheet xmlns="http://schemas.openxmlformats.org/spreadsheetml/2006/main" xmlns:r="http://schemas.openxmlformats.org/officeDocument/2006/relationships">
  <sheetPr>
    <pageSetUpPr fitToPage="1"/>
  </sheetPr>
  <dimension ref="A1:H1640"/>
  <sheetViews>
    <sheetView view="pageBreakPreview" zoomScaleSheetLayoutView="100" zoomScalePageLayoutView="0" workbookViewId="0" topLeftCell="A1610">
      <selection activeCell="D4" sqref="D4"/>
    </sheetView>
  </sheetViews>
  <sheetFormatPr defaultColWidth="9.00390625" defaultRowHeight="12.75"/>
  <cols>
    <col min="1" max="1" width="62.375" style="58" customWidth="1"/>
    <col min="2" max="2" width="6.375" style="58" customWidth="1"/>
    <col min="3" max="3" width="23.625" style="58" customWidth="1"/>
    <col min="4" max="6" width="15.625" style="58" bestFit="1" customWidth="1"/>
    <col min="7" max="7" width="8.125" style="58" customWidth="1"/>
    <col min="8" max="8" width="15.375" style="58" bestFit="1" customWidth="1"/>
    <col min="9" max="16384" width="9.125" style="58" customWidth="1"/>
  </cols>
  <sheetData>
    <row r="1" spans="1:7" ht="12.75" customHeight="1">
      <c r="A1" s="55"/>
      <c r="B1" s="55"/>
      <c r="C1" s="55"/>
      <c r="D1" s="55"/>
      <c r="E1" s="55"/>
      <c r="F1" s="56" t="s">
        <v>487</v>
      </c>
      <c r="G1" s="57"/>
    </row>
    <row r="2" spans="1:7" ht="12.75" customHeight="1">
      <c r="A2" s="59" t="s">
        <v>488</v>
      </c>
      <c r="B2" s="59"/>
      <c r="C2" s="59"/>
      <c r="D2" s="59"/>
      <c r="E2" s="59"/>
      <c r="F2" s="59"/>
      <c r="G2" s="57"/>
    </row>
    <row r="3" spans="1:7" ht="12.75" customHeight="1">
      <c r="A3" s="57"/>
      <c r="B3" s="57"/>
      <c r="C3" s="57"/>
      <c r="D3" s="57"/>
      <c r="E3" s="57"/>
      <c r="F3" s="57"/>
      <c r="G3" s="57"/>
    </row>
    <row r="4" spans="1:7" ht="39.75" customHeight="1">
      <c r="A4" s="94" t="s">
        <v>438</v>
      </c>
      <c r="B4" s="94" t="s">
        <v>439</v>
      </c>
      <c r="C4" s="232" t="s">
        <v>489</v>
      </c>
      <c r="D4" s="232" t="s">
        <v>441</v>
      </c>
      <c r="E4" s="232" t="s">
        <v>442</v>
      </c>
      <c r="F4" s="232" t="s">
        <v>805</v>
      </c>
      <c r="G4" s="57"/>
    </row>
    <row r="5" spans="1:7" ht="12.75" customHeight="1">
      <c r="A5" s="94">
        <v>1</v>
      </c>
      <c r="B5" s="94">
        <v>2</v>
      </c>
      <c r="C5" s="232">
        <v>3</v>
      </c>
      <c r="D5" s="231">
        <v>4</v>
      </c>
      <c r="E5" s="231">
        <v>5</v>
      </c>
      <c r="F5" s="231">
        <v>6</v>
      </c>
      <c r="G5" s="57"/>
    </row>
    <row r="6" spans="1:8" s="72" customFormat="1" ht="12.75">
      <c r="A6" s="376" t="s">
        <v>490</v>
      </c>
      <c r="B6" s="368">
        <v>200</v>
      </c>
      <c r="C6" s="366" t="s">
        <v>254</v>
      </c>
      <c r="D6" s="379">
        <v>8534794553.89</v>
      </c>
      <c r="E6" s="380">
        <v>8241569261.79</v>
      </c>
      <c r="F6" s="381">
        <v>293225292.1</v>
      </c>
      <c r="G6" s="71"/>
      <c r="H6" s="90"/>
    </row>
    <row r="7" spans="1:7" ht="12.75">
      <c r="A7" s="367" t="s">
        <v>255</v>
      </c>
      <c r="B7" s="368"/>
      <c r="C7" s="375"/>
      <c r="D7" s="379"/>
      <c r="E7" s="380"/>
      <c r="F7" s="381"/>
      <c r="G7" s="60"/>
    </row>
    <row r="8" spans="1:7" ht="12.75">
      <c r="A8" s="373" t="s">
        <v>917</v>
      </c>
      <c r="B8" s="374">
        <v>200</v>
      </c>
      <c r="C8" s="372" t="s">
        <v>918</v>
      </c>
      <c r="D8" s="382">
        <v>982773238.28</v>
      </c>
      <c r="E8" s="383">
        <v>940085330.15</v>
      </c>
      <c r="F8" s="384">
        <v>42687908.13</v>
      </c>
      <c r="G8" s="71" t="str">
        <f>RIGHT(C8,3)</f>
        <v>000</v>
      </c>
    </row>
    <row r="9" spans="1:7" ht="12.75">
      <c r="A9" s="373" t="s">
        <v>94</v>
      </c>
      <c r="B9" s="374">
        <v>200</v>
      </c>
      <c r="C9" s="372" t="s">
        <v>919</v>
      </c>
      <c r="D9" s="382">
        <v>364475002.86</v>
      </c>
      <c r="E9" s="383">
        <v>350267155.54</v>
      </c>
      <c r="F9" s="384">
        <v>14207847.32</v>
      </c>
      <c r="G9" s="71" t="str">
        <f aca="true" t="shared" si="0" ref="G9:G44">RIGHT(C9,3)</f>
        <v>000</v>
      </c>
    </row>
    <row r="10" spans="1:7" ht="22.5">
      <c r="A10" s="373" t="s">
        <v>428</v>
      </c>
      <c r="B10" s="374">
        <v>200</v>
      </c>
      <c r="C10" s="372" t="s">
        <v>283</v>
      </c>
      <c r="D10" s="382">
        <v>4984072.63</v>
      </c>
      <c r="E10" s="383">
        <v>4620460.67</v>
      </c>
      <c r="F10" s="384">
        <v>363611.96</v>
      </c>
      <c r="G10" s="71" t="str">
        <f t="shared" si="0"/>
        <v>000</v>
      </c>
    </row>
    <row r="11" spans="1:7" ht="12.75">
      <c r="A11" s="373" t="s">
        <v>243</v>
      </c>
      <c r="B11" s="374">
        <v>200</v>
      </c>
      <c r="C11" s="372" t="s">
        <v>284</v>
      </c>
      <c r="D11" s="382">
        <v>4984072.63</v>
      </c>
      <c r="E11" s="383">
        <v>4620460.67</v>
      </c>
      <c r="F11" s="384">
        <v>363611.96</v>
      </c>
      <c r="G11" s="71" t="str">
        <f t="shared" si="0"/>
        <v>000</v>
      </c>
    </row>
    <row r="12" spans="1:7" ht="12.75">
      <c r="A12" s="373" t="s">
        <v>429</v>
      </c>
      <c r="B12" s="374">
        <v>200</v>
      </c>
      <c r="C12" s="372" t="s">
        <v>285</v>
      </c>
      <c r="D12" s="382">
        <v>4750553.23</v>
      </c>
      <c r="E12" s="383">
        <v>4386941.27</v>
      </c>
      <c r="F12" s="384">
        <v>363611.96</v>
      </c>
      <c r="G12" s="71" t="str">
        <f t="shared" si="0"/>
        <v>000</v>
      </c>
    </row>
    <row r="13" spans="1:7" ht="33.75">
      <c r="A13" s="373" t="s">
        <v>36</v>
      </c>
      <c r="B13" s="374">
        <v>200</v>
      </c>
      <c r="C13" s="372" t="s">
        <v>286</v>
      </c>
      <c r="D13" s="382">
        <v>4750553.23</v>
      </c>
      <c r="E13" s="383">
        <v>4386941.27</v>
      </c>
      <c r="F13" s="384">
        <v>363611.96</v>
      </c>
      <c r="G13" s="71" t="str">
        <f t="shared" si="0"/>
        <v>100</v>
      </c>
    </row>
    <row r="14" spans="1:7" ht="12.75">
      <c r="A14" s="373" t="s">
        <v>37</v>
      </c>
      <c r="B14" s="374">
        <v>200</v>
      </c>
      <c r="C14" s="372" t="s">
        <v>287</v>
      </c>
      <c r="D14" s="382">
        <v>4750553.23</v>
      </c>
      <c r="E14" s="383">
        <v>4386941.27</v>
      </c>
      <c r="F14" s="384">
        <v>363611.96</v>
      </c>
      <c r="G14" s="71" t="str">
        <f t="shared" si="0"/>
        <v>120</v>
      </c>
    </row>
    <row r="15" spans="1:7" ht="12.75">
      <c r="A15" s="370" t="s">
        <v>1317</v>
      </c>
      <c r="B15" s="371">
        <v>200</v>
      </c>
      <c r="C15" s="369" t="s">
        <v>288</v>
      </c>
      <c r="D15" s="385">
        <v>2040329.39</v>
      </c>
      <c r="E15" s="380">
        <v>2040329.39</v>
      </c>
      <c r="F15" s="386">
        <v>0</v>
      </c>
      <c r="G15" s="71" t="str">
        <f t="shared" si="0"/>
        <v>121</v>
      </c>
    </row>
    <row r="16" spans="1:7" ht="22.5">
      <c r="A16" s="370" t="s">
        <v>244</v>
      </c>
      <c r="B16" s="371">
        <v>200</v>
      </c>
      <c r="C16" s="369" t="s">
        <v>4</v>
      </c>
      <c r="D16" s="385">
        <v>2264508.96</v>
      </c>
      <c r="E16" s="380">
        <v>1900897</v>
      </c>
      <c r="F16" s="386">
        <v>363611.96</v>
      </c>
      <c r="G16" s="71" t="str">
        <f t="shared" si="0"/>
        <v>122</v>
      </c>
    </row>
    <row r="17" spans="1:7" ht="33.75">
      <c r="A17" s="370" t="s">
        <v>1318</v>
      </c>
      <c r="B17" s="371">
        <v>200</v>
      </c>
      <c r="C17" s="369" t="s">
        <v>289</v>
      </c>
      <c r="D17" s="385">
        <v>445714.88</v>
      </c>
      <c r="E17" s="380">
        <v>445714.88</v>
      </c>
      <c r="F17" s="386">
        <v>0</v>
      </c>
      <c r="G17" s="71" t="str">
        <f t="shared" si="0"/>
        <v>129</v>
      </c>
    </row>
    <row r="18" spans="1:7" ht="33.75">
      <c r="A18" s="373" t="s">
        <v>2254</v>
      </c>
      <c r="B18" s="374">
        <v>200</v>
      </c>
      <c r="C18" s="372" t="s">
        <v>2255</v>
      </c>
      <c r="D18" s="382">
        <v>150734.4</v>
      </c>
      <c r="E18" s="383">
        <v>150734.4</v>
      </c>
      <c r="F18" s="384">
        <v>0</v>
      </c>
      <c r="G18" s="71" t="str">
        <f t="shared" si="0"/>
        <v>000</v>
      </c>
    </row>
    <row r="19" spans="1:7" ht="33.75">
      <c r="A19" s="373" t="s">
        <v>36</v>
      </c>
      <c r="B19" s="374">
        <v>200</v>
      </c>
      <c r="C19" s="372" t="s">
        <v>2256</v>
      </c>
      <c r="D19" s="382">
        <v>150734.4</v>
      </c>
      <c r="E19" s="383">
        <v>150734.4</v>
      </c>
      <c r="F19" s="384">
        <v>0</v>
      </c>
      <c r="G19" s="71" t="str">
        <f t="shared" si="0"/>
        <v>100</v>
      </c>
    </row>
    <row r="20" spans="1:7" ht="12.75">
      <c r="A20" s="373" t="s">
        <v>37</v>
      </c>
      <c r="B20" s="374">
        <v>200</v>
      </c>
      <c r="C20" s="372" t="s">
        <v>2257</v>
      </c>
      <c r="D20" s="382">
        <v>150734.4</v>
      </c>
      <c r="E20" s="383">
        <v>150734.4</v>
      </c>
      <c r="F20" s="384">
        <v>0</v>
      </c>
      <c r="G20" s="71" t="str">
        <f t="shared" si="0"/>
        <v>120</v>
      </c>
    </row>
    <row r="21" spans="1:7" ht="12.75">
      <c r="A21" s="370" t="s">
        <v>1317</v>
      </c>
      <c r="B21" s="371">
        <v>200</v>
      </c>
      <c r="C21" s="369" t="s">
        <v>2258</v>
      </c>
      <c r="D21" s="385">
        <v>128011.86</v>
      </c>
      <c r="E21" s="380">
        <v>128011.86</v>
      </c>
      <c r="F21" s="386">
        <v>0</v>
      </c>
      <c r="G21" s="71" t="str">
        <f t="shared" si="0"/>
        <v>121</v>
      </c>
    </row>
    <row r="22" spans="1:7" ht="33.75">
      <c r="A22" s="370" t="s">
        <v>1318</v>
      </c>
      <c r="B22" s="371">
        <v>200</v>
      </c>
      <c r="C22" s="369" t="s">
        <v>2259</v>
      </c>
      <c r="D22" s="385">
        <v>22722.54</v>
      </c>
      <c r="E22" s="380">
        <v>22722.54</v>
      </c>
      <c r="F22" s="386">
        <v>0</v>
      </c>
      <c r="G22" s="71" t="str">
        <f t="shared" si="0"/>
        <v>129</v>
      </c>
    </row>
    <row r="23" spans="1:7" ht="22.5">
      <c r="A23" s="373" t="s">
        <v>1811</v>
      </c>
      <c r="B23" s="374">
        <v>200</v>
      </c>
      <c r="C23" s="372" t="s">
        <v>1801</v>
      </c>
      <c r="D23" s="382">
        <v>82785</v>
      </c>
      <c r="E23" s="383">
        <v>82785</v>
      </c>
      <c r="F23" s="384">
        <v>0</v>
      </c>
      <c r="G23" s="71" t="str">
        <f t="shared" si="0"/>
        <v>000</v>
      </c>
    </row>
    <row r="24" spans="1:7" ht="33.75">
      <c r="A24" s="373" t="s">
        <v>36</v>
      </c>
      <c r="B24" s="374">
        <v>200</v>
      </c>
      <c r="C24" s="372" t="s">
        <v>1802</v>
      </c>
      <c r="D24" s="382">
        <v>82785</v>
      </c>
      <c r="E24" s="383">
        <v>82785</v>
      </c>
      <c r="F24" s="384">
        <v>0</v>
      </c>
      <c r="G24" s="71" t="str">
        <f t="shared" si="0"/>
        <v>100</v>
      </c>
    </row>
    <row r="25" spans="1:7" ht="12.75">
      <c r="A25" s="373" t="s">
        <v>37</v>
      </c>
      <c r="B25" s="374">
        <v>200</v>
      </c>
      <c r="C25" s="372" t="s">
        <v>1803</v>
      </c>
      <c r="D25" s="382">
        <v>82785</v>
      </c>
      <c r="E25" s="383">
        <v>82785</v>
      </c>
      <c r="F25" s="384">
        <v>0</v>
      </c>
      <c r="G25" s="71" t="str">
        <f t="shared" si="0"/>
        <v>120</v>
      </c>
    </row>
    <row r="26" spans="1:7" ht="12.75">
      <c r="A26" s="370" t="s">
        <v>1317</v>
      </c>
      <c r="B26" s="371">
        <v>200</v>
      </c>
      <c r="C26" s="369" t="s">
        <v>1804</v>
      </c>
      <c r="D26" s="385">
        <v>63583</v>
      </c>
      <c r="E26" s="380">
        <v>63583</v>
      </c>
      <c r="F26" s="386">
        <v>0</v>
      </c>
      <c r="G26" s="71" t="str">
        <f t="shared" si="0"/>
        <v>121</v>
      </c>
    </row>
    <row r="27" spans="1:7" ht="33.75">
      <c r="A27" s="370" t="s">
        <v>1318</v>
      </c>
      <c r="B27" s="371">
        <v>200</v>
      </c>
      <c r="C27" s="369" t="s">
        <v>1805</v>
      </c>
      <c r="D27" s="385">
        <v>19202</v>
      </c>
      <c r="E27" s="380">
        <v>19202</v>
      </c>
      <c r="F27" s="386">
        <v>0</v>
      </c>
      <c r="G27" s="71" t="str">
        <f t="shared" si="0"/>
        <v>129</v>
      </c>
    </row>
    <row r="28" spans="1:7" ht="33.75">
      <c r="A28" s="373" t="s">
        <v>1298</v>
      </c>
      <c r="B28" s="374">
        <v>200</v>
      </c>
      <c r="C28" s="372" t="s">
        <v>920</v>
      </c>
      <c r="D28" s="382">
        <v>135498737.38</v>
      </c>
      <c r="E28" s="383">
        <v>124121051.9</v>
      </c>
      <c r="F28" s="384">
        <v>11377685.48</v>
      </c>
      <c r="G28" s="71" t="str">
        <f t="shared" si="0"/>
        <v>000</v>
      </c>
    </row>
    <row r="29" spans="1:7" ht="12.75">
      <c r="A29" s="373" t="s">
        <v>243</v>
      </c>
      <c r="B29" s="374">
        <v>200</v>
      </c>
      <c r="C29" s="372" t="s">
        <v>921</v>
      </c>
      <c r="D29" s="382">
        <v>135498737.38</v>
      </c>
      <c r="E29" s="383">
        <v>124121051.9</v>
      </c>
      <c r="F29" s="384">
        <v>11377685.48</v>
      </c>
      <c r="G29" s="71" t="str">
        <f t="shared" si="0"/>
        <v>000</v>
      </c>
    </row>
    <row r="30" spans="1:7" ht="12.75">
      <c r="A30" s="373" t="s">
        <v>1299</v>
      </c>
      <c r="B30" s="374">
        <v>200</v>
      </c>
      <c r="C30" s="372" t="s">
        <v>922</v>
      </c>
      <c r="D30" s="382">
        <v>102039582.2</v>
      </c>
      <c r="E30" s="383">
        <v>91372381.37</v>
      </c>
      <c r="F30" s="384">
        <v>10667200.83</v>
      </c>
      <c r="G30" s="71" t="str">
        <f t="shared" si="0"/>
        <v>000</v>
      </c>
    </row>
    <row r="31" spans="1:7" ht="33.75">
      <c r="A31" s="373" t="s">
        <v>36</v>
      </c>
      <c r="B31" s="374">
        <v>200</v>
      </c>
      <c r="C31" s="372" t="s">
        <v>923</v>
      </c>
      <c r="D31" s="382">
        <v>61160730.96</v>
      </c>
      <c r="E31" s="383">
        <v>61160730.96</v>
      </c>
      <c r="F31" s="384">
        <v>0</v>
      </c>
      <c r="G31" s="71" t="str">
        <f t="shared" si="0"/>
        <v>100</v>
      </c>
    </row>
    <row r="32" spans="1:7" ht="12.75">
      <c r="A32" s="373" t="s">
        <v>37</v>
      </c>
      <c r="B32" s="374">
        <v>200</v>
      </c>
      <c r="C32" s="372" t="s">
        <v>924</v>
      </c>
      <c r="D32" s="382">
        <v>61160730.96</v>
      </c>
      <c r="E32" s="383">
        <v>61160730.96</v>
      </c>
      <c r="F32" s="384">
        <v>0</v>
      </c>
      <c r="G32" s="71" t="str">
        <f t="shared" si="0"/>
        <v>120</v>
      </c>
    </row>
    <row r="33" spans="1:7" ht="12.75">
      <c r="A33" s="370" t="s">
        <v>1317</v>
      </c>
      <c r="B33" s="371">
        <v>200</v>
      </c>
      <c r="C33" s="369" t="s">
        <v>1081</v>
      </c>
      <c r="D33" s="385">
        <v>44149819.47</v>
      </c>
      <c r="E33" s="380">
        <v>44149819.47</v>
      </c>
      <c r="F33" s="386">
        <v>0</v>
      </c>
      <c r="G33" s="71" t="str">
        <f t="shared" si="0"/>
        <v>121</v>
      </c>
    </row>
    <row r="34" spans="1:7" ht="22.5">
      <c r="A34" s="370" t="s">
        <v>244</v>
      </c>
      <c r="B34" s="371">
        <v>200</v>
      </c>
      <c r="C34" s="369" t="s">
        <v>1082</v>
      </c>
      <c r="D34" s="385">
        <v>5060015.06</v>
      </c>
      <c r="E34" s="380">
        <v>5060015.06</v>
      </c>
      <c r="F34" s="386">
        <v>0</v>
      </c>
      <c r="G34" s="71" t="str">
        <f t="shared" si="0"/>
        <v>122</v>
      </c>
    </row>
    <row r="35" spans="1:7" ht="33.75">
      <c r="A35" s="370" t="s">
        <v>1318</v>
      </c>
      <c r="B35" s="371">
        <v>200</v>
      </c>
      <c r="C35" s="369" t="s">
        <v>1083</v>
      </c>
      <c r="D35" s="385">
        <v>11950896.43</v>
      </c>
      <c r="E35" s="380">
        <v>11950896.43</v>
      </c>
      <c r="F35" s="386">
        <v>0</v>
      </c>
      <c r="G35" s="71" t="str">
        <f t="shared" si="0"/>
        <v>129</v>
      </c>
    </row>
    <row r="36" spans="1:7" ht="22.5">
      <c r="A36" s="373" t="s">
        <v>411</v>
      </c>
      <c r="B36" s="374">
        <v>200</v>
      </c>
      <c r="C36" s="372" t="s">
        <v>1084</v>
      </c>
      <c r="D36" s="382">
        <v>40167295.43</v>
      </c>
      <c r="E36" s="383">
        <v>29500094.6</v>
      </c>
      <c r="F36" s="384">
        <v>10667200.83</v>
      </c>
      <c r="G36" s="71" t="str">
        <f t="shared" si="0"/>
        <v>200</v>
      </c>
    </row>
    <row r="37" spans="1:7" ht="22.5">
      <c r="A37" s="373" t="s">
        <v>38</v>
      </c>
      <c r="B37" s="374">
        <v>200</v>
      </c>
      <c r="C37" s="372" t="s">
        <v>1085</v>
      </c>
      <c r="D37" s="382">
        <v>40167295.43</v>
      </c>
      <c r="E37" s="383">
        <v>29500094.6</v>
      </c>
      <c r="F37" s="384">
        <v>10667200.83</v>
      </c>
      <c r="G37" s="71" t="str">
        <f t="shared" si="0"/>
        <v>240</v>
      </c>
    </row>
    <row r="38" spans="1:7" ht="12.75">
      <c r="A38" s="370" t="s">
        <v>1658</v>
      </c>
      <c r="B38" s="371">
        <v>200</v>
      </c>
      <c r="C38" s="369" t="s">
        <v>1086</v>
      </c>
      <c r="D38" s="385">
        <v>40167295.43</v>
      </c>
      <c r="E38" s="380">
        <v>29500094.6</v>
      </c>
      <c r="F38" s="386">
        <v>10667200.83</v>
      </c>
      <c r="G38" s="71" t="str">
        <f t="shared" si="0"/>
        <v>244</v>
      </c>
    </row>
    <row r="39" spans="1:7" ht="12.75">
      <c r="A39" s="373" t="s">
        <v>43</v>
      </c>
      <c r="B39" s="374">
        <v>200</v>
      </c>
      <c r="C39" s="372" t="s">
        <v>2006</v>
      </c>
      <c r="D39" s="382">
        <v>459355.44</v>
      </c>
      <c r="E39" s="383">
        <v>459355.44</v>
      </c>
      <c r="F39" s="384">
        <v>0</v>
      </c>
      <c r="G39" s="71" t="str">
        <f t="shared" si="0"/>
        <v>300</v>
      </c>
    </row>
    <row r="40" spans="1:7" ht="22.5">
      <c r="A40" s="373" t="s">
        <v>44</v>
      </c>
      <c r="B40" s="374">
        <v>200</v>
      </c>
      <c r="C40" s="372" t="s">
        <v>2007</v>
      </c>
      <c r="D40" s="382">
        <v>459355.44</v>
      </c>
      <c r="E40" s="383">
        <v>459355.44</v>
      </c>
      <c r="F40" s="384">
        <v>0</v>
      </c>
      <c r="G40" s="71" t="str">
        <f t="shared" si="0"/>
        <v>320</v>
      </c>
    </row>
    <row r="41" spans="1:7" ht="22.5">
      <c r="A41" s="370" t="s">
        <v>1075</v>
      </c>
      <c r="B41" s="371">
        <v>200</v>
      </c>
      <c r="C41" s="369" t="s">
        <v>2008</v>
      </c>
      <c r="D41" s="385">
        <v>459355.44</v>
      </c>
      <c r="E41" s="380">
        <v>459355.44</v>
      </c>
      <c r="F41" s="386">
        <v>0</v>
      </c>
      <c r="G41" s="71" t="str">
        <f t="shared" si="0"/>
        <v>321</v>
      </c>
    </row>
    <row r="42" spans="1:7" ht="12.75">
      <c r="A42" s="373" t="s">
        <v>39</v>
      </c>
      <c r="B42" s="374">
        <v>200</v>
      </c>
      <c r="C42" s="372" t="s">
        <v>1087</v>
      </c>
      <c r="D42" s="382">
        <v>252200.37</v>
      </c>
      <c r="E42" s="383">
        <v>252200.37</v>
      </c>
      <c r="F42" s="384">
        <v>0</v>
      </c>
      <c r="G42" s="71" t="str">
        <f t="shared" si="0"/>
        <v>800</v>
      </c>
    </row>
    <row r="43" spans="1:7" ht="12.75">
      <c r="A43" s="373" t="s">
        <v>1817</v>
      </c>
      <c r="B43" s="374">
        <v>200</v>
      </c>
      <c r="C43" s="372" t="s">
        <v>2009</v>
      </c>
      <c r="D43" s="382">
        <v>1000</v>
      </c>
      <c r="E43" s="383">
        <v>1000</v>
      </c>
      <c r="F43" s="384">
        <v>0</v>
      </c>
      <c r="G43" s="71" t="str">
        <f t="shared" si="0"/>
        <v>830</v>
      </c>
    </row>
    <row r="44" spans="1:7" ht="22.5">
      <c r="A44" s="370" t="s">
        <v>1819</v>
      </c>
      <c r="B44" s="371">
        <v>200</v>
      </c>
      <c r="C44" s="369" t="s">
        <v>2010</v>
      </c>
      <c r="D44" s="385">
        <v>1000</v>
      </c>
      <c r="E44" s="380">
        <v>1000</v>
      </c>
      <c r="F44" s="386">
        <v>0</v>
      </c>
      <c r="G44" s="71" t="str">
        <f t="shared" si="0"/>
        <v>831</v>
      </c>
    </row>
    <row r="45" spans="1:7" ht="12.75">
      <c r="A45" s="373" t="s">
        <v>40</v>
      </c>
      <c r="B45" s="374">
        <v>200</v>
      </c>
      <c r="C45" s="372" t="s">
        <v>1088</v>
      </c>
      <c r="D45" s="382">
        <v>251200.37</v>
      </c>
      <c r="E45" s="383">
        <v>251200.37</v>
      </c>
      <c r="F45" s="384">
        <v>0</v>
      </c>
      <c r="G45" s="71" t="str">
        <f>RIGHT(C45,3)</f>
        <v>850</v>
      </c>
    </row>
    <row r="46" spans="1:7" ht="12.75">
      <c r="A46" s="370" t="s">
        <v>1375</v>
      </c>
      <c r="B46" s="371">
        <v>200</v>
      </c>
      <c r="C46" s="369" t="s">
        <v>248</v>
      </c>
      <c r="D46" s="385">
        <v>251200.37</v>
      </c>
      <c r="E46" s="380">
        <v>251200.37</v>
      </c>
      <c r="F46" s="386">
        <v>0</v>
      </c>
      <c r="G46" s="71" t="str">
        <f aca="true" t="shared" si="1" ref="G46:G99">RIGHT(C46,3)</f>
        <v>853</v>
      </c>
    </row>
    <row r="47" spans="1:7" ht="45">
      <c r="A47" s="377" t="s">
        <v>1593</v>
      </c>
      <c r="B47" s="374">
        <v>200</v>
      </c>
      <c r="C47" s="372" t="s">
        <v>1089</v>
      </c>
      <c r="D47" s="382">
        <v>11621939.71</v>
      </c>
      <c r="E47" s="383">
        <v>10929255.02</v>
      </c>
      <c r="F47" s="384">
        <v>692684.69</v>
      </c>
      <c r="G47" s="71" t="str">
        <f t="shared" si="1"/>
        <v>000</v>
      </c>
    </row>
    <row r="48" spans="1:7" ht="33.75">
      <c r="A48" s="373" t="s">
        <v>36</v>
      </c>
      <c r="B48" s="374">
        <v>200</v>
      </c>
      <c r="C48" s="372" t="s">
        <v>1090</v>
      </c>
      <c r="D48" s="382">
        <v>11621939.71</v>
      </c>
      <c r="E48" s="383">
        <v>10929255.02</v>
      </c>
      <c r="F48" s="384">
        <v>692684.69</v>
      </c>
      <c r="G48" s="71" t="str">
        <f t="shared" si="1"/>
        <v>100</v>
      </c>
    </row>
    <row r="49" spans="1:7" ht="12.75">
      <c r="A49" s="373" t="s">
        <v>37</v>
      </c>
      <c r="B49" s="374">
        <v>200</v>
      </c>
      <c r="C49" s="372" t="s">
        <v>1091</v>
      </c>
      <c r="D49" s="382">
        <v>11621939.71</v>
      </c>
      <c r="E49" s="383">
        <v>10929255.02</v>
      </c>
      <c r="F49" s="384">
        <v>692684.69</v>
      </c>
      <c r="G49" s="71" t="str">
        <f t="shared" si="1"/>
        <v>120</v>
      </c>
    </row>
    <row r="50" spans="1:7" ht="12.75">
      <c r="A50" s="370" t="s">
        <v>1317</v>
      </c>
      <c r="B50" s="371">
        <v>200</v>
      </c>
      <c r="C50" s="369" t="s">
        <v>1092</v>
      </c>
      <c r="D50" s="385">
        <v>9187440.17</v>
      </c>
      <c r="E50" s="380">
        <v>8718963.2</v>
      </c>
      <c r="F50" s="386">
        <v>468476.97</v>
      </c>
      <c r="G50" s="71" t="str">
        <f t="shared" si="1"/>
        <v>121</v>
      </c>
    </row>
    <row r="51" spans="1:7" ht="33.75">
      <c r="A51" s="370" t="s">
        <v>1318</v>
      </c>
      <c r="B51" s="371">
        <v>200</v>
      </c>
      <c r="C51" s="369" t="s">
        <v>1093</v>
      </c>
      <c r="D51" s="385">
        <v>2434499.54</v>
      </c>
      <c r="E51" s="380">
        <v>2210291.82</v>
      </c>
      <c r="F51" s="386">
        <v>224207.72</v>
      </c>
      <c r="G51" s="71" t="str">
        <f t="shared" si="1"/>
        <v>129</v>
      </c>
    </row>
    <row r="52" spans="1:7" ht="33.75">
      <c r="A52" s="373" t="s">
        <v>2254</v>
      </c>
      <c r="B52" s="374">
        <v>200</v>
      </c>
      <c r="C52" s="372" t="s">
        <v>2260</v>
      </c>
      <c r="D52" s="382">
        <v>4881077.47</v>
      </c>
      <c r="E52" s="383">
        <v>4881077.47</v>
      </c>
      <c r="F52" s="384">
        <v>0</v>
      </c>
      <c r="G52" s="71" t="str">
        <f t="shared" si="1"/>
        <v>000</v>
      </c>
    </row>
    <row r="53" spans="1:7" ht="33.75">
      <c r="A53" s="373" t="s">
        <v>36</v>
      </c>
      <c r="B53" s="374">
        <v>200</v>
      </c>
      <c r="C53" s="372" t="s">
        <v>2261</v>
      </c>
      <c r="D53" s="382">
        <v>4881077.47</v>
      </c>
      <c r="E53" s="383">
        <v>4881077.47</v>
      </c>
      <c r="F53" s="384">
        <v>0</v>
      </c>
      <c r="G53" s="71" t="str">
        <f t="shared" si="1"/>
        <v>100</v>
      </c>
    </row>
    <row r="54" spans="1:7" ht="12.75">
      <c r="A54" s="373" t="s">
        <v>37</v>
      </c>
      <c r="B54" s="374">
        <v>200</v>
      </c>
      <c r="C54" s="372" t="s">
        <v>2262</v>
      </c>
      <c r="D54" s="382">
        <v>4881077.47</v>
      </c>
      <c r="E54" s="383">
        <v>4881077.47</v>
      </c>
      <c r="F54" s="384">
        <v>0</v>
      </c>
      <c r="G54" s="71" t="str">
        <f t="shared" si="1"/>
        <v>120</v>
      </c>
    </row>
    <row r="55" spans="1:7" ht="12.75">
      <c r="A55" s="370" t="s">
        <v>1317</v>
      </c>
      <c r="B55" s="371">
        <v>200</v>
      </c>
      <c r="C55" s="369" t="s">
        <v>2263</v>
      </c>
      <c r="D55" s="385">
        <v>3910547.35</v>
      </c>
      <c r="E55" s="380">
        <v>3910547.35</v>
      </c>
      <c r="F55" s="386">
        <v>0</v>
      </c>
      <c r="G55" s="71" t="str">
        <f t="shared" si="1"/>
        <v>121</v>
      </c>
    </row>
    <row r="56" spans="1:7" ht="33.75">
      <c r="A56" s="370" t="s">
        <v>1318</v>
      </c>
      <c r="B56" s="371">
        <v>200</v>
      </c>
      <c r="C56" s="369" t="s">
        <v>2264</v>
      </c>
      <c r="D56" s="385">
        <v>970530.12</v>
      </c>
      <c r="E56" s="380">
        <v>970530.12</v>
      </c>
      <c r="F56" s="386">
        <v>0</v>
      </c>
      <c r="G56" s="71" t="str">
        <f t="shared" si="1"/>
        <v>129</v>
      </c>
    </row>
    <row r="57" spans="1:7" ht="22.5">
      <c r="A57" s="373" t="s">
        <v>1811</v>
      </c>
      <c r="B57" s="374">
        <v>200</v>
      </c>
      <c r="C57" s="372" t="s">
        <v>1806</v>
      </c>
      <c r="D57" s="382">
        <v>2545238</v>
      </c>
      <c r="E57" s="383">
        <v>2545238</v>
      </c>
      <c r="F57" s="384">
        <v>0</v>
      </c>
      <c r="G57" s="71" t="str">
        <f t="shared" si="1"/>
        <v>000</v>
      </c>
    </row>
    <row r="58" spans="1:7" ht="33.75">
      <c r="A58" s="373" t="s">
        <v>36</v>
      </c>
      <c r="B58" s="374">
        <v>200</v>
      </c>
      <c r="C58" s="372" t="s">
        <v>1807</v>
      </c>
      <c r="D58" s="382">
        <v>2545238</v>
      </c>
      <c r="E58" s="383">
        <v>2545238</v>
      </c>
      <c r="F58" s="384">
        <v>0</v>
      </c>
      <c r="G58" s="71" t="str">
        <f t="shared" si="1"/>
        <v>100</v>
      </c>
    </row>
    <row r="59" spans="1:7" ht="12.75">
      <c r="A59" s="373" t="s">
        <v>37</v>
      </c>
      <c r="B59" s="374">
        <v>200</v>
      </c>
      <c r="C59" s="372" t="s">
        <v>1808</v>
      </c>
      <c r="D59" s="382">
        <v>2545238</v>
      </c>
      <c r="E59" s="383">
        <v>2545238</v>
      </c>
      <c r="F59" s="384">
        <v>0</v>
      </c>
      <c r="G59" s="71" t="str">
        <f t="shared" si="1"/>
        <v>120</v>
      </c>
    </row>
    <row r="60" spans="1:7" ht="12.75">
      <c r="A60" s="370" t="s">
        <v>1317</v>
      </c>
      <c r="B60" s="371">
        <v>200</v>
      </c>
      <c r="C60" s="369" t="s">
        <v>1809</v>
      </c>
      <c r="D60" s="385">
        <v>1954866</v>
      </c>
      <c r="E60" s="380">
        <v>1954866</v>
      </c>
      <c r="F60" s="386">
        <v>0</v>
      </c>
      <c r="G60" s="71" t="str">
        <f t="shared" si="1"/>
        <v>121</v>
      </c>
    </row>
    <row r="61" spans="1:7" ht="33.75">
      <c r="A61" s="370" t="s">
        <v>1318</v>
      </c>
      <c r="B61" s="371">
        <v>200</v>
      </c>
      <c r="C61" s="369" t="s">
        <v>1810</v>
      </c>
      <c r="D61" s="385">
        <v>590372</v>
      </c>
      <c r="E61" s="380">
        <v>590372</v>
      </c>
      <c r="F61" s="386">
        <v>0</v>
      </c>
      <c r="G61" s="71" t="str">
        <f t="shared" si="1"/>
        <v>129</v>
      </c>
    </row>
    <row r="62" spans="1:7" ht="33.75">
      <c r="A62" s="373" t="s">
        <v>634</v>
      </c>
      <c r="B62" s="374">
        <v>200</v>
      </c>
      <c r="C62" s="372" t="s">
        <v>1094</v>
      </c>
      <c r="D62" s="382">
        <v>100900</v>
      </c>
      <c r="E62" s="383">
        <v>100900</v>
      </c>
      <c r="F62" s="384">
        <v>0</v>
      </c>
      <c r="G62" s="71" t="str">
        <f t="shared" si="1"/>
        <v>000</v>
      </c>
    </row>
    <row r="63" spans="1:7" ht="33.75">
      <c r="A63" s="373" t="s">
        <v>36</v>
      </c>
      <c r="B63" s="374">
        <v>200</v>
      </c>
      <c r="C63" s="372" t="s">
        <v>1095</v>
      </c>
      <c r="D63" s="382">
        <v>98010</v>
      </c>
      <c r="E63" s="383">
        <v>98010</v>
      </c>
      <c r="F63" s="384">
        <v>0</v>
      </c>
      <c r="G63" s="71" t="str">
        <f t="shared" si="1"/>
        <v>100</v>
      </c>
    </row>
    <row r="64" spans="1:7" ht="12.75">
      <c r="A64" s="373" t="s">
        <v>37</v>
      </c>
      <c r="B64" s="374">
        <v>200</v>
      </c>
      <c r="C64" s="372" t="s">
        <v>1096</v>
      </c>
      <c r="D64" s="382">
        <v>98010</v>
      </c>
      <c r="E64" s="383">
        <v>98010</v>
      </c>
      <c r="F64" s="384">
        <v>0</v>
      </c>
      <c r="G64" s="71" t="str">
        <f t="shared" si="1"/>
        <v>120</v>
      </c>
    </row>
    <row r="65" spans="1:7" ht="12.75">
      <c r="A65" s="370" t="s">
        <v>1317</v>
      </c>
      <c r="B65" s="371">
        <v>200</v>
      </c>
      <c r="C65" s="369" t="s">
        <v>249</v>
      </c>
      <c r="D65" s="385">
        <v>86539</v>
      </c>
      <c r="E65" s="380">
        <v>86539</v>
      </c>
      <c r="F65" s="386">
        <v>0</v>
      </c>
      <c r="G65" s="71" t="str">
        <f t="shared" si="1"/>
        <v>121</v>
      </c>
    </row>
    <row r="66" spans="1:7" ht="33.75">
      <c r="A66" s="370" t="s">
        <v>1318</v>
      </c>
      <c r="B66" s="371">
        <v>200</v>
      </c>
      <c r="C66" s="369" t="s">
        <v>250</v>
      </c>
      <c r="D66" s="385">
        <v>11471</v>
      </c>
      <c r="E66" s="380">
        <v>11471</v>
      </c>
      <c r="F66" s="386">
        <v>0</v>
      </c>
      <c r="G66" s="71" t="str">
        <f t="shared" si="1"/>
        <v>129</v>
      </c>
    </row>
    <row r="67" spans="1:7" ht="22.5">
      <c r="A67" s="373" t="s">
        <v>411</v>
      </c>
      <c r="B67" s="374">
        <v>200</v>
      </c>
      <c r="C67" s="372" t="s">
        <v>1097</v>
      </c>
      <c r="D67" s="382">
        <v>2890</v>
      </c>
      <c r="E67" s="383">
        <v>2890</v>
      </c>
      <c r="F67" s="384">
        <v>0</v>
      </c>
      <c r="G67" s="71" t="str">
        <f t="shared" si="1"/>
        <v>200</v>
      </c>
    </row>
    <row r="68" spans="1:7" ht="22.5">
      <c r="A68" s="373" t="s">
        <v>38</v>
      </c>
      <c r="B68" s="374">
        <v>200</v>
      </c>
      <c r="C68" s="372" t="s">
        <v>1098</v>
      </c>
      <c r="D68" s="382">
        <v>2890</v>
      </c>
      <c r="E68" s="383">
        <v>2890</v>
      </c>
      <c r="F68" s="384">
        <v>0</v>
      </c>
      <c r="G68" s="71" t="str">
        <f t="shared" si="1"/>
        <v>240</v>
      </c>
    </row>
    <row r="69" spans="1:7" ht="12.75">
      <c r="A69" s="370" t="s">
        <v>1658</v>
      </c>
      <c r="B69" s="371">
        <v>200</v>
      </c>
      <c r="C69" s="369" t="s">
        <v>251</v>
      </c>
      <c r="D69" s="385">
        <v>2890</v>
      </c>
      <c r="E69" s="380">
        <v>2890</v>
      </c>
      <c r="F69" s="386">
        <v>0</v>
      </c>
      <c r="G69" s="71" t="str">
        <f t="shared" si="1"/>
        <v>244</v>
      </c>
    </row>
    <row r="70" spans="1:7" ht="33.75">
      <c r="A70" s="373" t="s">
        <v>1058</v>
      </c>
      <c r="B70" s="374">
        <v>200</v>
      </c>
      <c r="C70" s="372" t="s">
        <v>1099</v>
      </c>
      <c r="D70" s="382">
        <v>1090700</v>
      </c>
      <c r="E70" s="383">
        <v>1072900.04</v>
      </c>
      <c r="F70" s="384">
        <v>17799.96</v>
      </c>
      <c r="G70" s="71" t="str">
        <f t="shared" si="1"/>
        <v>000</v>
      </c>
    </row>
    <row r="71" spans="1:7" ht="33.75">
      <c r="A71" s="373" t="s">
        <v>36</v>
      </c>
      <c r="B71" s="374">
        <v>200</v>
      </c>
      <c r="C71" s="372" t="s">
        <v>1100</v>
      </c>
      <c r="D71" s="382">
        <v>843130.12</v>
      </c>
      <c r="E71" s="383">
        <v>843130.12</v>
      </c>
      <c r="F71" s="384">
        <v>0</v>
      </c>
      <c r="G71" s="71" t="str">
        <f t="shared" si="1"/>
        <v>100</v>
      </c>
    </row>
    <row r="72" spans="1:7" ht="12.75">
      <c r="A72" s="373" t="s">
        <v>37</v>
      </c>
      <c r="B72" s="374">
        <v>200</v>
      </c>
      <c r="C72" s="372" t="s">
        <v>1325</v>
      </c>
      <c r="D72" s="382">
        <v>843130.12</v>
      </c>
      <c r="E72" s="383">
        <v>843130.12</v>
      </c>
      <c r="F72" s="384">
        <v>0</v>
      </c>
      <c r="G72" s="71" t="str">
        <f t="shared" si="1"/>
        <v>120</v>
      </c>
    </row>
    <row r="73" spans="1:7" ht="12.75">
      <c r="A73" s="370" t="s">
        <v>1317</v>
      </c>
      <c r="B73" s="371">
        <v>200</v>
      </c>
      <c r="C73" s="369" t="s">
        <v>1326</v>
      </c>
      <c r="D73" s="385">
        <v>647745.3</v>
      </c>
      <c r="E73" s="380">
        <v>647745.3</v>
      </c>
      <c r="F73" s="386">
        <v>0</v>
      </c>
      <c r="G73" s="71" t="str">
        <f t="shared" si="1"/>
        <v>121</v>
      </c>
    </row>
    <row r="74" spans="1:7" ht="33.75">
      <c r="A74" s="370" t="s">
        <v>1318</v>
      </c>
      <c r="B74" s="371">
        <v>200</v>
      </c>
      <c r="C74" s="369" t="s">
        <v>1327</v>
      </c>
      <c r="D74" s="385">
        <v>195384.82</v>
      </c>
      <c r="E74" s="380">
        <v>195384.82</v>
      </c>
      <c r="F74" s="386">
        <v>0</v>
      </c>
      <c r="G74" s="71" t="str">
        <f t="shared" si="1"/>
        <v>129</v>
      </c>
    </row>
    <row r="75" spans="1:7" ht="22.5">
      <c r="A75" s="373" t="s">
        <v>411</v>
      </c>
      <c r="B75" s="374">
        <v>200</v>
      </c>
      <c r="C75" s="372" t="s">
        <v>1328</v>
      </c>
      <c r="D75" s="382">
        <v>247569.88</v>
      </c>
      <c r="E75" s="383">
        <v>229769.92</v>
      </c>
      <c r="F75" s="384">
        <v>17799.96</v>
      </c>
      <c r="G75" s="71" t="str">
        <f t="shared" si="1"/>
        <v>200</v>
      </c>
    </row>
    <row r="76" spans="1:7" ht="22.5">
      <c r="A76" s="373" t="s">
        <v>38</v>
      </c>
      <c r="B76" s="374">
        <v>200</v>
      </c>
      <c r="C76" s="372" t="s">
        <v>1329</v>
      </c>
      <c r="D76" s="382">
        <v>247569.88</v>
      </c>
      <c r="E76" s="383">
        <v>229769.92</v>
      </c>
      <c r="F76" s="384">
        <v>17799.96</v>
      </c>
      <c r="G76" s="71" t="str">
        <f t="shared" si="1"/>
        <v>240</v>
      </c>
    </row>
    <row r="77" spans="1:7" ht="12.75">
      <c r="A77" s="370" t="s">
        <v>1658</v>
      </c>
      <c r="B77" s="371">
        <v>200</v>
      </c>
      <c r="C77" s="369" t="s">
        <v>1330</v>
      </c>
      <c r="D77" s="385">
        <v>247569.88</v>
      </c>
      <c r="E77" s="380">
        <v>229769.92</v>
      </c>
      <c r="F77" s="386">
        <v>17799.96</v>
      </c>
      <c r="G77" s="71" t="str">
        <f t="shared" si="1"/>
        <v>244</v>
      </c>
    </row>
    <row r="78" spans="1:7" ht="33.75">
      <c r="A78" s="373" t="s">
        <v>620</v>
      </c>
      <c r="B78" s="374">
        <v>200</v>
      </c>
      <c r="C78" s="372" t="s">
        <v>1331</v>
      </c>
      <c r="D78" s="382">
        <v>10075300</v>
      </c>
      <c r="E78" s="383">
        <v>10075300</v>
      </c>
      <c r="F78" s="384">
        <v>0</v>
      </c>
      <c r="G78" s="71" t="str">
        <f t="shared" si="1"/>
        <v>000</v>
      </c>
    </row>
    <row r="79" spans="1:7" ht="33.75">
      <c r="A79" s="373" t="s">
        <v>36</v>
      </c>
      <c r="B79" s="374">
        <v>200</v>
      </c>
      <c r="C79" s="372" t="s">
        <v>1332</v>
      </c>
      <c r="D79" s="382">
        <v>9558175.19</v>
      </c>
      <c r="E79" s="383">
        <v>9558175.19</v>
      </c>
      <c r="F79" s="384">
        <v>0</v>
      </c>
      <c r="G79" s="71" t="str">
        <f t="shared" si="1"/>
        <v>100</v>
      </c>
    </row>
    <row r="80" spans="1:7" ht="12.75">
      <c r="A80" s="373" t="s">
        <v>37</v>
      </c>
      <c r="B80" s="374">
        <v>200</v>
      </c>
      <c r="C80" s="372" t="s">
        <v>1333</v>
      </c>
      <c r="D80" s="382">
        <v>9558175.19</v>
      </c>
      <c r="E80" s="383">
        <v>9558175.19</v>
      </c>
      <c r="F80" s="384">
        <v>0</v>
      </c>
      <c r="G80" s="71" t="str">
        <f t="shared" si="1"/>
        <v>120</v>
      </c>
    </row>
    <row r="81" spans="1:7" ht="12.75">
      <c r="A81" s="370" t="s">
        <v>1317</v>
      </c>
      <c r="B81" s="371">
        <v>200</v>
      </c>
      <c r="C81" s="369" t="s">
        <v>1334</v>
      </c>
      <c r="D81" s="385">
        <v>6792137.2</v>
      </c>
      <c r="E81" s="380">
        <v>6792137.2</v>
      </c>
      <c r="F81" s="386">
        <v>0</v>
      </c>
      <c r="G81" s="71" t="str">
        <f t="shared" si="1"/>
        <v>121</v>
      </c>
    </row>
    <row r="82" spans="1:7" ht="22.5">
      <c r="A82" s="370" t="s">
        <v>244</v>
      </c>
      <c r="B82" s="371">
        <v>200</v>
      </c>
      <c r="C82" s="369" t="s">
        <v>1335</v>
      </c>
      <c r="D82" s="385">
        <v>764184.53</v>
      </c>
      <c r="E82" s="380">
        <v>764184.53</v>
      </c>
      <c r="F82" s="386">
        <v>0</v>
      </c>
      <c r="G82" s="71" t="str">
        <f t="shared" si="1"/>
        <v>122</v>
      </c>
    </row>
    <row r="83" spans="1:7" ht="33.75">
      <c r="A83" s="370" t="s">
        <v>1318</v>
      </c>
      <c r="B83" s="371">
        <v>200</v>
      </c>
      <c r="C83" s="369" t="s">
        <v>1336</v>
      </c>
      <c r="D83" s="385">
        <v>2001853.46</v>
      </c>
      <c r="E83" s="380">
        <v>2001853.46</v>
      </c>
      <c r="F83" s="386">
        <v>0</v>
      </c>
      <c r="G83" s="71" t="str">
        <f t="shared" si="1"/>
        <v>129</v>
      </c>
    </row>
    <row r="84" spans="1:7" ht="22.5">
      <c r="A84" s="373" t="s">
        <v>411</v>
      </c>
      <c r="B84" s="374">
        <v>200</v>
      </c>
      <c r="C84" s="372" t="s">
        <v>1337</v>
      </c>
      <c r="D84" s="382">
        <v>517124.81</v>
      </c>
      <c r="E84" s="383">
        <v>517124.81</v>
      </c>
      <c r="F84" s="384">
        <v>0</v>
      </c>
      <c r="G84" s="71" t="str">
        <f t="shared" si="1"/>
        <v>200</v>
      </c>
    </row>
    <row r="85" spans="1:7" s="72" customFormat="1" ht="22.5">
      <c r="A85" s="373" t="s">
        <v>38</v>
      </c>
      <c r="B85" s="374">
        <v>200</v>
      </c>
      <c r="C85" s="372" t="s">
        <v>1338</v>
      </c>
      <c r="D85" s="382">
        <v>517124.81</v>
      </c>
      <c r="E85" s="383">
        <v>517124.81</v>
      </c>
      <c r="F85" s="384">
        <v>0</v>
      </c>
      <c r="G85" s="71" t="str">
        <f t="shared" si="1"/>
        <v>240</v>
      </c>
    </row>
    <row r="86" spans="1:7" s="72" customFormat="1" ht="12.75">
      <c r="A86" s="370" t="s">
        <v>1658</v>
      </c>
      <c r="B86" s="371">
        <v>200</v>
      </c>
      <c r="C86" s="369" t="s">
        <v>1339</v>
      </c>
      <c r="D86" s="385">
        <v>517124.81</v>
      </c>
      <c r="E86" s="380">
        <v>517124.81</v>
      </c>
      <c r="F86" s="386">
        <v>0</v>
      </c>
      <c r="G86" s="71" t="str">
        <f t="shared" si="1"/>
        <v>244</v>
      </c>
    </row>
    <row r="87" spans="1:7" s="72" customFormat="1" ht="33.75">
      <c r="A87" s="373" t="s">
        <v>589</v>
      </c>
      <c r="B87" s="374">
        <v>200</v>
      </c>
      <c r="C87" s="372" t="s">
        <v>1340</v>
      </c>
      <c r="D87" s="382">
        <v>3144000</v>
      </c>
      <c r="E87" s="383">
        <v>3144000</v>
      </c>
      <c r="F87" s="384">
        <v>0</v>
      </c>
      <c r="G87" s="71" t="str">
        <f t="shared" si="1"/>
        <v>000</v>
      </c>
    </row>
    <row r="88" spans="1:7" s="72" customFormat="1" ht="33.75">
      <c r="A88" s="373" t="s">
        <v>36</v>
      </c>
      <c r="B88" s="374">
        <v>200</v>
      </c>
      <c r="C88" s="372" t="s">
        <v>1341</v>
      </c>
      <c r="D88" s="382">
        <v>2935570.89</v>
      </c>
      <c r="E88" s="383">
        <v>2935570.89</v>
      </c>
      <c r="F88" s="384">
        <v>0</v>
      </c>
      <c r="G88" s="71" t="str">
        <f t="shared" si="1"/>
        <v>100</v>
      </c>
    </row>
    <row r="89" spans="1:7" s="70" customFormat="1" ht="12.75">
      <c r="A89" s="373" t="s">
        <v>37</v>
      </c>
      <c r="B89" s="374">
        <v>200</v>
      </c>
      <c r="C89" s="372" t="s">
        <v>1342</v>
      </c>
      <c r="D89" s="382">
        <v>2935570.89</v>
      </c>
      <c r="E89" s="383">
        <v>2935570.89</v>
      </c>
      <c r="F89" s="384">
        <v>0</v>
      </c>
      <c r="G89" s="71" t="str">
        <f t="shared" si="1"/>
        <v>120</v>
      </c>
    </row>
    <row r="90" spans="1:7" s="70" customFormat="1" ht="12.75">
      <c r="A90" s="370" t="s">
        <v>1317</v>
      </c>
      <c r="B90" s="371">
        <v>200</v>
      </c>
      <c r="C90" s="369" t="s">
        <v>1343</v>
      </c>
      <c r="D90" s="385">
        <v>2056413.68</v>
      </c>
      <c r="E90" s="380">
        <v>2056413.68</v>
      </c>
      <c r="F90" s="386">
        <v>0</v>
      </c>
      <c r="G90" s="71" t="str">
        <f t="shared" si="1"/>
        <v>121</v>
      </c>
    </row>
    <row r="91" spans="1:7" s="70" customFormat="1" ht="22.5">
      <c r="A91" s="370" t="s">
        <v>244</v>
      </c>
      <c r="B91" s="371">
        <v>200</v>
      </c>
      <c r="C91" s="369" t="s">
        <v>1344</v>
      </c>
      <c r="D91" s="385">
        <v>269519.73</v>
      </c>
      <c r="E91" s="380">
        <v>269519.73</v>
      </c>
      <c r="F91" s="386">
        <v>0</v>
      </c>
      <c r="G91" s="71" t="str">
        <f t="shared" si="1"/>
        <v>122</v>
      </c>
    </row>
    <row r="92" spans="1:7" s="72" customFormat="1" ht="33.75">
      <c r="A92" s="370" t="s">
        <v>1318</v>
      </c>
      <c r="B92" s="371">
        <v>200</v>
      </c>
      <c r="C92" s="369" t="s">
        <v>1345</v>
      </c>
      <c r="D92" s="385">
        <v>609637.48</v>
      </c>
      <c r="E92" s="380">
        <v>609637.48</v>
      </c>
      <c r="F92" s="386">
        <v>0</v>
      </c>
      <c r="G92" s="71" t="str">
        <f t="shared" si="1"/>
        <v>129</v>
      </c>
    </row>
    <row r="93" spans="1:7" s="73" customFormat="1" ht="22.5">
      <c r="A93" s="373" t="s">
        <v>411</v>
      </c>
      <c r="B93" s="374">
        <v>200</v>
      </c>
      <c r="C93" s="372" t="s">
        <v>1346</v>
      </c>
      <c r="D93" s="382">
        <v>208429.11</v>
      </c>
      <c r="E93" s="383">
        <v>208429.11</v>
      </c>
      <c r="F93" s="384">
        <v>0</v>
      </c>
      <c r="G93" s="71" t="str">
        <f t="shared" si="1"/>
        <v>200</v>
      </c>
    </row>
    <row r="94" spans="1:7" s="73" customFormat="1" ht="22.5">
      <c r="A94" s="373" t="s">
        <v>38</v>
      </c>
      <c r="B94" s="374">
        <v>200</v>
      </c>
      <c r="C94" s="372" t="s">
        <v>1347</v>
      </c>
      <c r="D94" s="382">
        <v>208429.11</v>
      </c>
      <c r="E94" s="383">
        <v>208429.11</v>
      </c>
      <c r="F94" s="384">
        <v>0</v>
      </c>
      <c r="G94" s="71" t="str">
        <f t="shared" si="1"/>
        <v>240</v>
      </c>
    </row>
    <row r="95" spans="1:7" s="70" customFormat="1" ht="12.75">
      <c r="A95" s="370" t="s">
        <v>1658</v>
      </c>
      <c r="B95" s="371">
        <v>200</v>
      </c>
      <c r="C95" s="369" t="s">
        <v>1348</v>
      </c>
      <c r="D95" s="385">
        <v>208429.11</v>
      </c>
      <c r="E95" s="380">
        <v>208429.11</v>
      </c>
      <c r="F95" s="386">
        <v>0</v>
      </c>
      <c r="G95" s="71" t="str">
        <f t="shared" si="1"/>
        <v>244</v>
      </c>
    </row>
    <row r="96" spans="1:7" s="70" customFormat="1" ht="12.75">
      <c r="A96" s="373" t="s">
        <v>1659</v>
      </c>
      <c r="B96" s="374">
        <v>200</v>
      </c>
      <c r="C96" s="372" t="s">
        <v>1660</v>
      </c>
      <c r="D96" s="382">
        <v>235000</v>
      </c>
      <c r="E96" s="383">
        <v>235000</v>
      </c>
      <c r="F96" s="384">
        <v>0</v>
      </c>
      <c r="G96" s="71" t="str">
        <f t="shared" si="1"/>
        <v>000</v>
      </c>
    </row>
    <row r="97" spans="1:7" s="72" customFormat="1" ht="12.75">
      <c r="A97" s="373" t="s">
        <v>243</v>
      </c>
      <c r="B97" s="374">
        <v>200</v>
      </c>
      <c r="C97" s="372" t="s">
        <v>1661</v>
      </c>
      <c r="D97" s="382">
        <v>235000</v>
      </c>
      <c r="E97" s="383">
        <v>235000</v>
      </c>
      <c r="F97" s="384">
        <v>0</v>
      </c>
      <c r="G97" s="71" t="str">
        <f t="shared" si="1"/>
        <v>000</v>
      </c>
    </row>
    <row r="98" spans="1:7" s="72" customFormat="1" ht="33.75">
      <c r="A98" s="373" t="s">
        <v>1662</v>
      </c>
      <c r="B98" s="374">
        <v>200</v>
      </c>
      <c r="C98" s="372" t="s">
        <v>1663</v>
      </c>
      <c r="D98" s="382">
        <v>235000</v>
      </c>
      <c r="E98" s="383">
        <v>235000</v>
      </c>
      <c r="F98" s="384">
        <v>0</v>
      </c>
      <c r="G98" s="71" t="str">
        <f t="shared" si="1"/>
        <v>000</v>
      </c>
    </row>
    <row r="99" spans="1:7" s="72" customFormat="1" ht="22.5">
      <c r="A99" s="373" t="s">
        <v>411</v>
      </c>
      <c r="B99" s="374">
        <v>200</v>
      </c>
      <c r="C99" s="372" t="s">
        <v>1664</v>
      </c>
      <c r="D99" s="382">
        <v>235000</v>
      </c>
      <c r="E99" s="383">
        <v>235000</v>
      </c>
      <c r="F99" s="384">
        <v>0</v>
      </c>
      <c r="G99" s="71" t="str">
        <f t="shared" si="1"/>
        <v>200</v>
      </c>
    </row>
    <row r="100" spans="1:7" s="72" customFormat="1" ht="22.5">
      <c r="A100" s="373" t="s">
        <v>38</v>
      </c>
      <c r="B100" s="374">
        <v>200</v>
      </c>
      <c r="C100" s="372" t="s">
        <v>1665</v>
      </c>
      <c r="D100" s="382">
        <v>235000</v>
      </c>
      <c r="E100" s="383">
        <v>235000</v>
      </c>
      <c r="F100" s="384">
        <v>0</v>
      </c>
      <c r="G100" s="71" t="str">
        <f aca="true" t="shared" si="2" ref="G100:G159">RIGHT(C100,3)</f>
        <v>240</v>
      </c>
    </row>
    <row r="101" spans="1:7" s="70" customFormat="1" ht="12.75">
      <c r="A101" s="370" t="s">
        <v>1658</v>
      </c>
      <c r="B101" s="371">
        <v>200</v>
      </c>
      <c r="C101" s="369" t="s">
        <v>1666</v>
      </c>
      <c r="D101" s="385">
        <v>235000</v>
      </c>
      <c r="E101" s="380">
        <v>235000</v>
      </c>
      <c r="F101" s="386">
        <v>0</v>
      </c>
      <c r="G101" s="71" t="str">
        <f t="shared" si="2"/>
        <v>244</v>
      </c>
    </row>
    <row r="102" spans="1:7" s="72" customFormat="1" ht="12.75">
      <c r="A102" s="373" t="s">
        <v>1405</v>
      </c>
      <c r="B102" s="374">
        <v>200</v>
      </c>
      <c r="C102" s="372" t="s">
        <v>1287</v>
      </c>
      <c r="D102" s="382">
        <v>223757192.85</v>
      </c>
      <c r="E102" s="383">
        <v>221290642.97</v>
      </c>
      <c r="F102" s="384">
        <v>2466549.88</v>
      </c>
      <c r="G102" s="71" t="str">
        <f t="shared" si="2"/>
        <v>000</v>
      </c>
    </row>
    <row r="103" spans="1:7" s="70" customFormat="1" ht="22.5">
      <c r="A103" s="373" t="s">
        <v>415</v>
      </c>
      <c r="B103" s="374">
        <v>200</v>
      </c>
      <c r="C103" s="372" t="s">
        <v>1288</v>
      </c>
      <c r="D103" s="382">
        <v>13401536.01</v>
      </c>
      <c r="E103" s="383">
        <v>13365878.66</v>
      </c>
      <c r="F103" s="384">
        <v>35657.35</v>
      </c>
      <c r="G103" s="71" t="str">
        <f t="shared" si="2"/>
        <v>000</v>
      </c>
    </row>
    <row r="104" spans="1:7" s="70" customFormat="1" ht="33.75">
      <c r="A104" s="373" t="s">
        <v>1364</v>
      </c>
      <c r="B104" s="374">
        <v>200</v>
      </c>
      <c r="C104" s="372" t="s">
        <v>1289</v>
      </c>
      <c r="D104" s="382">
        <v>13018795.01</v>
      </c>
      <c r="E104" s="383">
        <v>12983137.66</v>
      </c>
      <c r="F104" s="384">
        <v>35657.35</v>
      </c>
      <c r="G104" s="71" t="str">
        <f t="shared" si="2"/>
        <v>000</v>
      </c>
    </row>
    <row r="105" spans="1:7" s="70" customFormat="1" ht="33.75">
      <c r="A105" s="373" t="s">
        <v>36</v>
      </c>
      <c r="B105" s="374">
        <v>200</v>
      </c>
      <c r="C105" s="372" t="s">
        <v>1290</v>
      </c>
      <c r="D105" s="382">
        <v>10102339.97</v>
      </c>
      <c r="E105" s="383">
        <v>10102339.97</v>
      </c>
      <c r="F105" s="384">
        <v>0</v>
      </c>
      <c r="G105" s="71" t="str">
        <f t="shared" si="2"/>
        <v>100</v>
      </c>
    </row>
    <row r="106" spans="1:7" s="72" customFormat="1" ht="12.75">
      <c r="A106" s="373" t="s">
        <v>41</v>
      </c>
      <c r="B106" s="374">
        <v>200</v>
      </c>
      <c r="C106" s="372" t="s">
        <v>1291</v>
      </c>
      <c r="D106" s="382">
        <v>10102339.97</v>
      </c>
      <c r="E106" s="383">
        <v>10102339.97</v>
      </c>
      <c r="F106" s="384">
        <v>0</v>
      </c>
      <c r="G106" s="71" t="str">
        <f t="shared" si="2"/>
        <v>110</v>
      </c>
    </row>
    <row r="107" spans="1:7" s="72" customFormat="1" ht="12.75">
      <c r="A107" s="370" t="s">
        <v>412</v>
      </c>
      <c r="B107" s="371">
        <v>200</v>
      </c>
      <c r="C107" s="369" t="s">
        <v>1292</v>
      </c>
      <c r="D107" s="385">
        <v>7480427.15</v>
      </c>
      <c r="E107" s="380">
        <v>7480427.15</v>
      </c>
      <c r="F107" s="386">
        <v>0</v>
      </c>
      <c r="G107" s="71" t="str">
        <f t="shared" si="2"/>
        <v>111</v>
      </c>
    </row>
    <row r="108" spans="1:7" s="72" customFormat="1" ht="12.75">
      <c r="A108" s="370" t="s">
        <v>413</v>
      </c>
      <c r="B108" s="371">
        <v>200</v>
      </c>
      <c r="C108" s="369" t="s">
        <v>1293</v>
      </c>
      <c r="D108" s="385">
        <v>411188.38</v>
      </c>
      <c r="E108" s="380">
        <v>411188.38</v>
      </c>
      <c r="F108" s="386">
        <v>0</v>
      </c>
      <c r="G108" s="71" t="str">
        <f t="shared" si="2"/>
        <v>112</v>
      </c>
    </row>
    <row r="109" spans="1:7" s="72" customFormat="1" ht="22.5">
      <c r="A109" s="370" t="s">
        <v>414</v>
      </c>
      <c r="B109" s="371">
        <v>200</v>
      </c>
      <c r="C109" s="369" t="s">
        <v>1294</v>
      </c>
      <c r="D109" s="385">
        <v>2210724.44</v>
      </c>
      <c r="E109" s="380">
        <v>2210724.44</v>
      </c>
      <c r="F109" s="386">
        <v>0</v>
      </c>
      <c r="G109" s="71" t="str">
        <f t="shared" si="2"/>
        <v>119</v>
      </c>
    </row>
    <row r="110" spans="1:7" s="70" customFormat="1" ht="22.5">
      <c r="A110" s="373" t="s">
        <v>411</v>
      </c>
      <c r="B110" s="374">
        <v>200</v>
      </c>
      <c r="C110" s="372" t="s">
        <v>1295</v>
      </c>
      <c r="D110" s="382">
        <v>2916455.04</v>
      </c>
      <c r="E110" s="383">
        <v>2880797.69</v>
      </c>
      <c r="F110" s="384">
        <v>35657.35</v>
      </c>
      <c r="G110" s="71" t="str">
        <f t="shared" si="2"/>
        <v>200</v>
      </c>
    </row>
    <row r="111" spans="1:7" s="70" customFormat="1" ht="22.5">
      <c r="A111" s="373" t="s">
        <v>38</v>
      </c>
      <c r="B111" s="374">
        <v>200</v>
      </c>
      <c r="C111" s="372" t="s">
        <v>1296</v>
      </c>
      <c r="D111" s="382">
        <v>2916455.04</v>
      </c>
      <c r="E111" s="383">
        <v>2880797.69</v>
      </c>
      <c r="F111" s="384">
        <v>35657.35</v>
      </c>
      <c r="G111" s="71" t="str">
        <f t="shared" si="2"/>
        <v>240</v>
      </c>
    </row>
    <row r="112" spans="1:7" s="72" customFormat="1" ht="12.75">
      <c r="A112" s="370" t="s">
        <v>1658</v>
      </c>
      <c r="B112" s="371">
        <v>200</v>
      </c>
      <c r="C112" s="369" t="s">
        <v>1297</v>
      </c>
      <c r="D112" s="385">
        <v>2916455.04</v>
      </c>
      <c r="E112" s="380">
        <v>2880797.69</v>
      </c>
      <c r="F112" s="386">
        <v>35657.35</v>
      </c>
      <c r="G112" s="71" t="str">
        <f t="shared" si="2"/>
        <v>244</v>
      </c>
    </row>
    <row r="113" spans="1:7" s="72" customFormat="1" ht="22.5">
      <c r="A113" s="373" t="s">
        <v>1811</v>
      </c>
      <c r="B113" s="374">
        <v>200</v>
      </c>
      <c r="C113" s="372" t="s">
        <v>1812</v>
      </c>
      <c r="D113" s="382">
        <v>382741</v>
      </c>
      <c r="E113" s="383">
        <v>382741</v>
      </c>
      <c r="F113" s="384">
        <v>0</v>
      </c>
      <c r="G113" s="71" t="str">
        <f t="shared" si="2"/>
        <v>000</v>
      </c>
    </row>
    <row r="114" spans="1:7" s="72" customFormat="1" ht="33.75">
      <c r="A114" s="373" t="s">
        <v>36</v>
      </c>
      <c r="B114" s="374">
        <v>200</v>
      </c>
      <c r="C114" s="372" t="s">
        <v>1813</v>
      </c>
      <c r="D114" s="382">
        <v>382741</v>
      </c>
      <c r="E114" s="383">
        <v>382741</v>
      </c>
      <c r="F114" s="384">
        <v>0</v>
      </c>
      <c r="G114" s="71" t="str">
        <f t="shared" si="2"/>
        <v>100</v>
      </c>
    </row>
    <row r="115" spans="1:7" s="72" customFormat="1" ht="12.75">
      <c r="A115" s="373" t="s">
        <v>41</v>
      </c>
      <c r="B115" s="374">
        <v>200</v>
      </c>
      <c r="C115" s="372" t="s">
        <v>1814</v>
      </c>
      <c r="D115" s="382">
        <v>382741</v>
      </c>
      <c r="E115" s="383">
        <v>382741</v>
      </c>
      <c r="F115" s="384">
        <v>0</v>
      </c>
      <c r="G115" s="71" t="str">
        <f t="shared" si="2"/>
        <v>110</v>
      </c>
    </row>
    <row r="116" spans="1:7" s="72" customFormat="1" ht="12.75">
      <c r="A116" s="370" t="s">
        <v>412</v>
      </c>
      <c r="B116" s="371">
        <v>200</v>
      </c>
      <c r="C116" s="369" t="s">
        <v>1815</v>
      </c>
      <c r="D116" s="385">
        <v>293964</v>
      </c>
      <c r="E116" s="380">
        <v>293964</v>
      </c>
      <c r="F116" s="386">
        <v>0</v>
      </c>
      <c r="G116" s="71" t="str">
        <f t="shared" si="2"/>
        <v>111</v>
      </c>
    </row>
    <row r="117" spans="1:7" s="70" customFormat="1" ht="22.5">
      <c r="A117" s="370" t="s">
        <v>414</v>
      </c>
      <c r="B117" s="371">
        <v>200</v>
      </c>
      <c r="C117" s="369" t="s">
        <v>1816</v>
      </c>
      <c r="D117" s="385">
        <v>88777</v>
      </c>
      <c r="E117" s="380">
        <v>88777</v>
      </c>
      <c r="F117" s="386">
        <v>0</v>
      </c>
      <c r="G117" s="71" t="str">
        <f t="shared" si="2"/>
        <v>119</v>
      </c>
    </row>
    <row r="118" spans="1:7" s="70" customFormat="1" ht="12.75">
      <c r="A118" s="373" t="s">
        <v>243</v>
      </c>
      <c r="B118" s="374">
        <v>200</v>
      </c>
      <c r="C118" s="372" t="s">
        <v>1431</v>
      </c>
      <c r="D118" s="382">
        <v>210355656.84</v>
      </c>
      <c r="E118" s="383">
        <v>207924764.31</v>
      </c>
      <c r="F118" s="384">
        <v>2430892.53</v>
      </c>
      <c r="G118" s="71" t="str">
        <f t="shared" si="2"/>
        <v>000</v>
      </c>
    </row>
    <row r="119" spans="1:7" s="70" customFormat="1" ht="33.75">
      <c r="A119" s="373" t="s">
        <v>261</v>
      </c>
      <c r="B119" s="374">
        <v>200</v>
      </c>
      <c r="C119" s="372" t="s">
        <v>1667</v>
      </c>
      <c r="D119" s="382">
        <v>101897369.66</v>
      </c>
      <c r="E119" s="383">
        <v>99526448.85</v>
      </c>
      <c r="F119" s="384">
        <v>2370920.81</v>
      </c>
      <c r="G119" s="71" t="str">
        <f t="shared" si="2"/>
        <v>000</v>
      </c>
    </row>
    <row r="120" spans="1:7" s="72" customFormat="1" ht="33.75">
      <c r="A120" s="373" t="s">
        <v>36</v>
      </c>
      <c r="B120" s="374">
        <v>200</v>
      </c>
      <c r="C120" s="372" t="s">
        <v>1668</v>
      </c>
      <c r="D120" s="382">
        <v>68552365.98</v>
      </c>
      <c r="E120" s="383">
        <v>68421891.4</v>
      </c>
      <c r="F120" s="384">
        <v>130474.58</v>
      </c>
      <c r="G120" s="71" t="str">
        <f t="shared" si="2"/>
        <v>100</v>
      </c>
    </row>
    <row r="121" spans="1:7" s="72" customFormat="1" ht="12.75">
      <c r="A121" s="373" t="s">
        <v>41</v>
      </c>
      <c r="B121" s="374">
        <v>200</v>
      </c>
      <c r="C121" s="372" t="s">
        <v>1669</v>
      </c>
      <c r="D121" s="382">
        <v>68552365.98</v>
      </c>
      <c r="E121" s="383">
        <v>68421891.4</v>
      </c>
      <c r="F121" s="384">
        <v>130474.58</v>
      </c>
      <c r="G121" s="71" t="str">
        <f t="shared" si="2"/>
        <v>110</v>
      </c>
    </row>
    <row r="122" spans="1:7" s="72" customFormat="1" ht="12.75">
      <c r="A122" s="370" t="s">
        <v>412</v>
      </c>
      <c r="B122" s="371">
        <v>200</v>
      </c>
      <c r="C122" s="369" t="s">
        <v>1670</v>
      </c>
      <c r="D122" s="385">
        <v>50863346.06</v>
      </c>
      <c r="E122" s="380">
        <v>50863346.06</v>
      </c>
      <c r="F122" s="386">
        <v>0</v>
      </c>
      <c r="G122" s="71" t="str">
        <f t="shared" si="2"/>
        <v>111</v>
      </c>
    </row>
    <row r="123" spans="1:7" s="72" customFormat="1" ht="12.75">
      <c r="A123" s="370" t="s">
        <v>413</v>
      </c>
      <c r="B123" s="371">
        <v>200</v>
      </c>
      <c r="C123" s="369" t="s">
        <v>1671</v>
      </c>
      <c r="D123" s="385">
        <v>2482421.39</v>
      </c>
      <c r="E123" s="380">
        <v>2390940.69</v>
      </c>
      <c r="F123" s="386">
        <v>91480.7</v>
      </c>
      <c r="G123" s="71" t="str">
        <f t="shared" si="2"/>
        <v>112</v>
      </c>
    </row>
    <row r="124" spans="1:7" s="70" customFormat="1" ht="22.5">
      <c r="A124" s="370" t="s">
        <v>414</v>
      </c>
      <c r="B124" s="371">
        <v>200</v>
      </c>
      <c r="C124" s="369" t="s">
        <v>1672</v>
      </c>
      <c r="D124" s="385">
        <v>15206598.53</v>
      </c>
      <c r="E124" s="380">
        <v>15167604.65</v>
      </c>
      <c r="F124" s="386">
        <v>38993.88</v>
      </c>
      <c r="G124" s="71" t="str">
        <f t="shared" si="2"/>
        <v>119</v>
      </c>
    </row>
    <row r="125" spans="1:7" s="70" customFormat="1" ht="22.5">
      <c r="A125" s="373" t="s">
        <v>411</v>
      </c>
      <c r="B125" s="374">
        <v>200</v>
      </c>
      <c r="C125" s="372" t="s">
        <v>1673</v>
      </c>
      <c r="D125" s="382">
        <v>32833214.96</v>
      </c>
      <c r="E125" s="383">
        <v>30592768.73</v>
      </c>
      <c r="F125" s="384">
        <v>2240446.23</v>
      </c>
      <c r="G125" s="71" t="str">
        <f t="shared" si="2"/>
        <v>200</v>
      </c>
    </row>
    <row r="126" spans="1:7" s="72" customFormat="1" ht="22.5">
      <c r="A126" s="373" t="s">
        <v>38</v>
      </c>
      <c r="B126" s="374">
        <v>200</v>
      </c>
      <c r="C126" s="372" t="s">
        <v>1674</v>
      </c>
      <c r="D126" s="382">
        <v>32833214.96</v>
      </c>
      <c r="E126" s="383">
        <v>30592768.73</v>
      </c>
      <c r="F126" s="384">
        <v>2240446.23</v>
      </c>
      <c r="G126" s="71" t="str">
        <f t="shared" si="2"/>
        <v>240</v>
      </c>
    </row>
    <row r="127" spans="1:7" s="72" customFormat="1" ht="12.75">
      <c r="A127" s="370" t="s">
        <v>1658</v>
      </c>
      <c r="B127" s="371">
        <v>200</v>
      </c>
      <c r="C127" s="369" t="s">
        <v>1675</v>
      </c>
      <c r="D127" s="385">
        <v>32833214.96</v>
      </c>
      <c r="E127" s="380">
        <v>30592768.73</v>
      </c>
      <c r="F127" s="386">
        <v>2240446.23</v>
      </c>
      <c r="G127" s="71" t="str">
        <f t="shared" si="2"/>
        <v>244</v>
      </c>
    </row>
    <row r="128" spans="1:7" s="70" customFormat="1" ht="12.75">
      <c r="A128" s="373" t="s">
        <v>39</v>
      </c>
      <c r="B128" s="374">
        <v>200</v>
      </c>
      <c r="C128" s="372" t="s">
        <v>1676</v>
      </c>
      <c r="D128" s="382">
        <v>511788.72</v>
      </c>
      <c r="E128" s="383">
        <v>511788.72</v>
      </c>
      <c r="F128" s="384">
        <v>0</v>
      </c>
      <c r="G128" s="71" t="str">
        <f t="shared" si="2"/>
        <v>800</v>
      </c>
    </row>
    <row r="129" spans="1:7" s="70" customFormat="1" ht="12.75">
      <c r="A129" s="373" t="s">
        <v>1817</v>
      </c>
      <c r="B129" s="374">
        <v>200</v>
      </c>
      <c r="C129" s="372" t="s">
        <v>1818</v>
      </c>
      <c r="D129" s="382">
        <v>311548.36</v>
      </c>
      <c r="E129" s="383">
        <v>311548.36</v>
      </c>
      <c r="F129" s="384">
        <v>0</v>
      </c>
      <c r="G129" s="71" t="str">
        <f t="shared" si="2"/>
        <v>830</v>
      </c>
    </row>
    <row r="130" spans="1:7" s="72" customFormat="1" ht="22.5">
      <c r="A130" s="370" t="s">
        <v>1819</v>
      </c>
      <c r="B130" s="371">
        <v>200</v>
      </c>
      <c r="C130" s="369" t="s">
        <v>1820</v>
      </c>
      <c r="D130" s="385">
        <v>311548.36</v>
      </c>
      <c r="E130" s="380">
        <v>311548.36</v>
      </c>
      <c r="F130" s="386">
        <v>0</v>
      </c>
      <c r="G130" s="71" t="str">
        <f t="shared" si="2"/>
        <v>831</v>
      </c>
    </row>
    <row r="131" spans="1:7" s="72" customFormat="1" ht="12.75">
      <c r="A131" s="373" t="s">
        <v>40</v>
      </c>
      <c r="B131" s="374">
        <v>200</v>
      </c>
      <c r="C131" s="372" t="s">
        <v>1677</v>
      </c>
      <c r="D131" s="382">
        <v>200240.36</v>
      </c>
      <c r="E131" s="383">
        <v>200240.36</v>
      </c>
      <c r="F131" s="384">
        <v>0</v>
      </c>
      <c r="G131" s="71" t="str">
        <f t="shared" si="2"/>
        <v>850</v>
      </c>
    </row>
    <row r="132" spans="1:7" s="70" customFormat="1" ht="12.75">
      <c r="A132" s="370" t="s">
        <v>1365</v>
      </c>
      <c r="B132" s="371">
        <v>200</v>
      </c>
      <c r="C132" s="369" t="s">
        <v>1678</v>
      </c>
      <c r="D132" s="385">
        <v>187184</v>
      </c>
      <c r="E132" s="380">
        <v>187184</v>
      </c>
      <c r="F132" s="386">
        <v>0</v>
      </c>
      <c r="G132" s="71" t="str">
        <f t="shared" si="2"/>
        <v>851</v>
      </c>
    </row>
    <row r="133" spans="1:7" s="72" customFormat="1" ht="12.75">
      <c r="A133" s="370" t="s">
        <v>632</v>
      </c>
      <c r="B133" s="371">
        <v>200</v>
      </c>
      <c r="C133" s="369" t="s">
        <v>1679</v>
      </c>
      <c r="D133" s="385">
        <v>2000</v>
      </c>
      <c r="E133" s="380">
        <v>2000</v>
      </c>
      <c r="F133" s="386">
        <v>0</v>
      </c>
      <c r="G133" s="71" t="str">
        <f t="shared" si="2"/>
        <v>852</v>
      </c>
    </row>
    <row r="134" spans="1:7" s="72" customFormat="1" ht="12.75">
      <c r="A134" s="370" t="s">
        <v>1375</v>
      </c>
      <c r="B134" s="371">
        <v>200</v>
      </c>
      <c r="C134" s="369" t="s">
        <v>1680</v>
      </c>
      <c r="D134" s="385">
        <v>11056.36</v>
      </c>
      <c r="E134" s="380">
        <v>11056.36</v>
      </c>
      <c r="F134" s="386">
        <v>0</v>
      </c>
      <c r="G134" s="71" t="str">
        <f t="shared" si="2"/>
        <v>853</v>
      </c>
    </row>
    <row r="135" spans="1:7" s="72" customFormat="1" ht="67.5">
      <c r="A135" s="377" t="s">
        <v>1595</v>
      </c>
      <c r="B135" s="374">
        <v>200</v>
      </c>
      <c r="C135" s="372" t="s">
        <v>1432</v>
      </c>
      <c r="D135" s="382">
        <v>101683202.18</v>
      </c>
      <c r="E135" s="383">
        <v>101640701.35</v>
      </c>
      <c r="F135" s="384">
        <v>42500.83</v>
      </c>
      <c r="G135" s="71" t="str">
        <f t="shared" si="2"/>
        <v>000</v>
      </c>
    </row>
    <row r="136" spans="1:7" s="72" customFormat="1" ht="33.75">
      <c r="A136" s="373" t="s">
        <v>36</v>
      </c>
      <c r="B136" s="374">
        <v>200</v>
      </c>
      <c r="C136" s="372" t="s">
        <v>773</v>
      </c>
      <c r="D136" s="382">
        <v>97915047.5</v>
      </c>
      <c r="E136" s="383">
        <v>97878697.81</v>
      </c>
      <c r="F136" s="384">
        <v>36349.69</v>
      </c>
      <c r="G136" s="71" t="str">
        <f t="shared" si="2"/>
        <v>100</v>
      </c>
    </row>
    <row r="137" spans="1:7" s="70" customFormat="1" ht="12.75">
      <c r="A137" s="373" t="s">
        <v>41</v>
      </c>
      <c r="B137" s="374">
        <v>200</v>
      </c>
      <c r="C137" s="372" t="s">
        <v>774</v>
      </c>
      <c r="D137" s="382">
        <v>97915047.5</v>
      </c>
      <c r="E137" s="383">
        <v>97878697.81</v>
      </c>
      <c r="F137" s="384">
        <v>36349.69</v>
      </c>
      <c r="G137" s="71" t="str">
        <f t="shared" si="2"/>
        <v>110</v>
      </c>
    </row>
    <row r="138" spans="1:7" s="72" customFormat="1" ht="12.75">
      <c r="A138" s="370" t="s">
        <v>412</v>
      </c>
      <c r="B138" s="371">
        <v>200</v>
      </c>
      <c r="C138" s="369" t="s">
        <v>775</v>
      </c>
      <c r="D138" s="385">
        <v>71885014.47</v>
      </c>
      <c r="E138" s="380">
        <v>71885014.47</v>
      </c>
      <c r="F138" s="386">
        <v>0</v>
      </c>
      <c r="G138" s="71" t="str">
        <f t="shared" si="2"/>
        <v>111</v>
      </c>
    </row>
    <row r="139" spans="1:7" s="72" customFormat="1" ht="12.75">
      <c r="A139" s="370" t="s">
        <v>413</v>
      </c>
      <c r="B139" s="371">
        <v>200</v>
      </c>
      <c r="C139" s="369" t="s">
        <v>776</v>
      </c>
      <c r="D139" s="385">
        <v>5284744.38</v>
      </c>
      <c r="E139" s="380">
        <v>5284744.38</v>
      </c>
      <c r="F139" s="386">
        <v>0</v>
      </c>
      <c r="G139" s="71" t="str">
        <f t="shared" si="2"/>
        <v>112</v>
      </c>
    </row>
    <row r="140" spans="1:7" s="72" customFormat="1" ht="22.5">
      <c r="A140" s="370" t="s">
        <v>414</v>
      </c>
      <c r="B140" s="371">
        <v>200</v>
      </c>
      <c r="C140" s="369" t="s">
        <v>777</v>
      </c>
      <c r="D140" s="385">
        <v>20745288.65</v>
      </c>
      <c r="E140" s="380">
        <v>20708938.96</v>
      </c>
      <c r="F140" s="386">
        <v>36349.69</v>
      </c>
      <c r="G140" s="71" t="str">
        <f t="shared" si="2"/>
        <v>119</v>
      </c>
    </row>
    <row r="141" spans="1:7" s="72" customFormat="1" ht="22.5">
      <c r="A141" s="373" t="s">
        <v>411</v>
      </c>
      <c r="B141" s="374">
        <v>200</v>
      </c>
      <c r="C141" s="372" t="s">
        <v>778</v>
      </c>
      <c r="D141" s="382">
        <v>3767063.99</v>
      </c>
      <c r="E141" s="383">
        <v>3760912.85</v>
      </c>
      <c r="F141" s="384">
        <v>6151.14</v>
      </c>
      <c r="G141" s="71" t="str">
        <f t="shared" si="2"/>
        <v>200</v>
      </c>
    </row>
    <row r="142" spans="1:7" s="70" customFormat="1" ht="22.5">
      <c r="A142" s="373" t="s">
        <v>38</v>
      </c>
      <c r="B142" s="374">
        <v>200</v>
      </c>
      <c r="C142" s="372" t="s">
        <v>779</v>
      </c>
      <c r="D142" s="382">
        <v>3767063.99</v>
      </c>
      <c r="E142" s="383">
        <v>3760912.85</v>
      </c>
      <c r="F142" s="384">
        <v>6151.14</v>
      </c>
      <c r="G142" s="71" t="str">
        <f t="shared" si="2"/>
        <v>240</v>
      </c>
    </row>
    <row r="143" spans="1:7" s="72" customFormat="1" ht="12.75">
      <c r="A143" s="370" t="s">
        <v>1658</v>
      </c>
      <c r="B143" s="371">
        <v>200</v>
      </c>
      <c r="C143" s="369" t="s">
        <v>780</v>
      </c>
      <c r="D143" s="385">
        <v>3767063.99</v>
      </c>
      <c r="E143" s="380">
        <v>3760912.85</v>
      </c>
      <c r="F143" s="386">
        <v>6151.14</v>
      </c>
      <c r="G143" s="71" t="str">
        <f t="shared" si="2"/>
        <v>244</v>
      </c>
    </row>
    <row r="144" spans="1:7" s="72" customFormat="1" ht="12.75">
      <c r="A144" s="373" t="s">
        <v>39</v>
      </c>
      <c r="B144" s="374">
        <v>200</v>
      </c>
      <c r="C144" s="372" t="s">
        <v>781</v>
      </c>
      <c r="D144" s="382">
        <v>1090.69</v>
      </c>
      <c r="E144" s="383">
        <v>1090.69</v>
      </c>
      <c r="F144" s="384">
        <v>0</v>
      </c>
      <c r="G144" s="71" t="str">
        <f t="shared" si="2"/>
        <v>800</v>
      </c>
    </row>
    <row r="145" spans="1:7" s="70" customFormat="1" ht="12.75">
      <c r="A145" s="373" t="s">
        <v>40</v>
      </c>
      <c r="B145" s="374">
        <v>200</v>
      </c>
      <c r="C145" s="372" t="s">
        <v>782</v>
      </c>
      <c r="D145" s="382">
        <v>1090.69</v>
      </c>
      <c r="E145" s="383">
        <v>1090.69</v>
      </c>
      <c r="F145" s="384">
        <v>0</v>
      </c>
      <c r="G145" s="71" t="str">
        <f t="shared" si="2"/>
        <v>850</v>
      </c>
    </row>
    <row r="146" spans="1:7" s="72" customFormat="1" ht="12.75">
      <c r="A146" s="370" t="s">
        <v>1375</v>
      </c>
      <c r="B146" s="371">
        <v>200</v>
      </c>
      <c r="C146" s="369" t="s">
        <v>290</v>
      </c>
      <c r="D146" s="385">
        <v>1090.69</v>
      </c>
      <c r="E146" s="380">
        <v>1090.69</v>
      </c>
      <c r="F146" s="386">
        <v>0</v>
      </c>
      <c r="G146" s="71" t="str">
        <f t="shared" si="2"/>
        <v>853</v>
      </c>
    </row>
    <row r="147" spans="1:7" s="72" customFormat="1" ht="33.75">
      <c r="A147" s="373" t="s">
        <v>2092</v>
      </c>
      <c r="B147" s="374">
        <v>200</v>
      </c>
      <c r="C147" s="372" t="s">
        <v>2370</v>
      </c>
      <c r="D147" s="382">
        <v>123390</v>
      </c>
      <c r="E147" s="383">
        <v>105919.11</v>
      </c>
      <c r="F147" s="384">
        <v>17470.89</v>
      </c>
      <c r="G147" s="71" t="str">
        <f t="shared" si="2"/>
        <v>000</v>
      </c>
    </row>
    <row r="148" spans="1:7" s="72" customFormat="1" ht="33.75">
      <c r="A148" s="373" t="s">
        <v>36</v>
      </c>
      <c r="B148" s="374">
        <v>200</v>
      </c>
      <c r="C148" s="372" t="s">
        <v>2371</v>
      </c>
      <c r="D148" s="382">
        <v>123390</v>
      </c>
      <c r="E148" s="383">
        <v>105919.11</v>
      </c>
      <c r="F148" s="384">
        <v>17470.89</v>
      </c>
      <c r="G148" s="71" t="str">
        <f t="shared" si="2"/>
        <v>100</v>
      </c>
    </row>
    <row r="149" spans="1:7" s="72" customFormat="1" ht="12.75">
      <c r="A149" s="373" t="s">
        <v>41</v>
      </c>
      <c r="B149" s="374">
        <v>200</v>
      </c>
      <c r="C149" s="372" t="s">
        <v>2372</v>
      </c>
      <c r="D149" s="382">
        <v>123390</v>
      </c>
      <c r="E149" s="383">
        <v>105919.11</v>
      </c>
      <c r="F149" s="384">
        <v>17470.89</v>
      </c>
      <c r="G149" s="71" t="str">
        <f t="shared" si="2"/>
        <v>110</v>
      </c>
    </row>
    <row r="150" spans="1:7" s="72" customFormat="1" ht="12.75">
      <c r="A150" s="370" t="s">
        <v>412</v>
      </c>
      <c r="B150" s="371">
        <v>200</v>
      </c>
      <c r="C150" s="369" t="s">
        <v>2373</v>
      </c>
      <c r="D150" s="385">
        <v>94769.21</v>
      </c>
      <c r="E150" s="380">
        <v>81449.38</v>
      </c>
      <c r="F150" s="386">
        <v>13319.83</v>
      </c>
      <c r="G150" s="71" t="str">
        <f t="shared" si="2"/>
        <v>111</v>
      </c>
    </row>
    <row r="151" spans="1:7" s="70" customFormat="1" ht="22.5">
      <c r="A151" s="370" t="s">
        <v>414</v>
      </c>
      <c r="B151" s="371">
        <v>200</v>
      </c>
      <c r="C151" s="369" t="s">
        <v>2374</v>
      </c>
      <c r="D151" s="385">
        <v>28620.79</v>
      </c>
      <c r="E151" s="380">
        <v>24469.73</v>
      </c>
      <c r="F151" s="386">
        <v>4151.06</v>
      </c>
      <c r="G151" s="71" t="str">
        <f t="shared" si="2"/>
        <v>119</v>
      </c>
    </row>
    <row r="152" spans="1:7" s="72" customFormat="1" ht="22.5">
      <c r="A152" s="373" t="s">
        <v>1811</v>
      </c>
      <c r="B152" s="374">
        <v>200</v>
      </c>
      <c r="C152" s="372" t="s">
        <v>1821</v>
      </c>
      <c r="D152" s="382">
        <v>6446395</v>
      </c>
      <c r="E152" s="383">
        <v>6446395</v>
      </c>
      <c r="F152" s="384">
        <v>0</v>
      </c>
      <c r="G152" s="71" t="str">
        <f t="shared" si="2"/>
        <v>000</v>
      </c>
    </row>
    <row r="153" spans="1:7" s="72" customFormat="1" ht="33.75">
      <c r="A153" s="373" t="s">
        <v>36</v>
      </c>
      <c r="B153" s="374">
        <v>200</v>
      </c>
      <c r="C153" s="372" t="s">
        <v>1822</v>
      </c>
      <c r="D153" s="382">
        <v>6446395</v>
      </c>
      <c r="E153" s="383">
        <v>6446395</v>
      </c>
      <c r="F153" s="384">
        <v>0</v>
      </c>
      <c r="G153" s="71" t="str">
        <f t="shared" si="2"/>
        <v>100</v>
      </c>
    </row>
    <row r="154" spans="1:7" s="72" customFormat="1" ht="12.75">
      <c r="A154" s="373" t="s">
        <v>41</v>
      </c>
      <c r="B154" s="374">
        <v>200</v>
      </c>
      <c r="C154" s="372" t="s">
        <v>1823</v>
      </c>
      <c r="D154" s="382">
        <v>6446395</v>
      </c>
      <c r="E154" s="383">
        <v>6446395</v>
      </c>
      <c r="F154" s="384">
        <v>0</v>
      </c>
      <c r="G154" s="71" t="str">
        <f t="shared" si="2"/>
        <v>110</v>
      </c>
    </row>
    <row r="155" spans="1:7" s="72" customFormat="1" ht="12.75">
      <c r="A155" s="370" t="s">
        <v>412</v>
      </c>
      <c r="B155" s="371">
        <v>200</v>
      </c>
      <c r="C155" s="369" t="s">
        <v>1824</v>
      </c>
      <c r="D155" s="385">
        <v>4951148</v>
      </c>
      <c r="E155" s="380">
        <v>4951148</v>
      </c>
      <c r="F155" s="386">
        <v>0</v>
      </c>
      <c r="G155" s="71" t="str">
        <f t="shared" si="2"/>
        <v>111</v>
      </c>
    </row>
    <row r="156" spans="1:7" s="72" customFormat="1" ht="22.5">
      <c r="A156" s="370" t="s">
        <v>414</v>
      </c>
      <c r="B156" s="371">
        <v>200</v>
      </c>
      <c r="C156" s="369" t="s">
        <v>1825</v>
      </c>
      <c r="D156" s="385">
        <v>1495247</v>
      </c>
      <c r="E156" s="380">
        <v>1495247</v>
      </c>
      <c r="F156" s="386">
        <v>0</v>
      </c>
      <c r="G156" s="71" t="str">
        <f t="shared" si="2"/>
        <v>119</v>
      </c>
    </row>
    <row r="157" spans="1:7" s="72" customFormat="1" ht="22.5">
      <c r="A157" s="373" t="s">
        <v>1366</v>
      </c>
      <c r="B157" s="374">
        <v>200</v>
      </c>
      <c r="C157" s="372" t="s">
        <v>783</v>
      </c>
      <c r="D157" s="382">
        <v>205300</v>
      </c>
      <c r="E157" s="383">
        <v>205300</v>
      </c>
      <c r="F157" s="384">
        <v>0</v>
      </c>
      <c r="G157" s="71" t="str">
        <f t="shared" si="2"/>
        <v>000</v>
      </c>
    </row>
    <row r="158" spans="1:7" s="72" customFormat="1" ht="12.75">
      <c r="A158" s="373" t="s">
        <v>42</v>
      </c>
      <c r="B158" s="374">
        <v>200</v>
      </c>
      <c r="C158" s="372" t="s">
        <v>784</v>
      </c>
      <c r="D158" s="382">
        <v>205300</v>
      </c>
      <c r="E158" s="383">
        <v>205300</v>
      </c>
      <c r="F158" s="384">
        <v>0</v>
      </c>
      <c r="G158" s="71" t="str">
        <f t="shared" si="2"/>
        <v>500</v>
      </c>
    </row>
    <row r="159" spans="1:7" s="70" customFormat="1" ht="12.75">
      <c r="A159" s="370" t="s">
        <v>512</v>
      </c>
      <c r="B159" s="371">
        <v>200</v>
      </c>
      <c r="C159" s="369" t="s">
        <v>785</v>
      </c>
      <c r="D159" s="385">
        <v>205300</v>
      </c>
      <c r="E159" s="380">
        <v>205300</v>
      </c>
      <c r="F159" s="386">
        <v>0</v>
      </c>
      <c r="G159" s="71" t="str">
        <f t="shared" si="2"/>
        <v>540</v>
      </c>
    </row>
    <row r="160" spans="1:7" s="72" customFormat="1" ht="12.75">
      <c r="A160" s="373" t="s">
        <v>668</v>
      </c>
      <c r="B160" s="374">
        <v>200</v>
      </c>
      <c r="C160" s="372" t="s">
        <v>786</v>
      </c>
      <c r="D160" s="382">
        <v>7983925.59</v>
      </c>
      <c r="E160" s="383">
        <v>7755242.74</v>
      </c>
      <c r="F160" s="384">
        <v>228682.85</v>
      </c>
      <c r="G160" s="71" t="str">
        <f aca="true" t="shared" si="3" ref="G160:G221">RIGHT(C160,3)</f>
        <v>000</v>
      </c>
    </row>
    <row r="161" spans="1:7" s="72" customFormat="1" ht="12.75">
      <c r="A161" s="373" t="s">
        <v>1357</v>
      </c>
      <c r="B161" s="374">
        <v>200</v>
      </c>
      <c r="C161" s="372" t="s">
        <v>787</v>
      </c>
      <c r="D161" s="382">
        <v>7983925.59</v>
      </c>
      <c r="E161" s="383">
        <v>7755242.74</v>
      </c>
      <c r="F161" s="384">
        <v>228682.85</v>
      </c>
      <c r="G161" s="71" t="str">
        <f t="shared" si="3"/>
        <v>000</v>
      </c>
    </row>
    <row r="162" spans="1:7" s="72" customFormat="1" ht="12.75">
      <c r="A162" s="373" t="s">
        <v>243</v>
      </c>
      <c r="B162" s="374">
        <v>200</v>
      </c>
      <c r="C162" s="372" t="s">
        <v>110</v>
      </c>
      <c r="D162" s="382">
        <v>7983925.59</v>
      </c>
      <c r="E162" s="383">
        <v>7755242.74</v>
      </c>
      <c r="F162" s="384">
        <v>228682.85</v>
      </c>
      <c r="G162" s="71" t="str">
        <f t="shared" si="3"/>
        <v>000</v>
      </c>
    </row>
    <row r="163" spans="1:7" s="72" customFormat="1" ht="22.5">
      <c r="A163" s="373" t="s">
        <v>416</v>
      </c>
      <c r="B163" s="374">
        <v>200</v>
      </c>
      <c r="C163" s="372" t="s">
        <v>111</v>
      </c>
      <c r="D163" s="382">
        <v>7983925.59</v>
      </c>
      <c r="E163" s="383">
        <v>7755242.74</v>
      </c>
      <c r="F163" s="384">
        <v>228682.85</v>
      </c>
      <c r="G163" s="71" t="str">
        <f t="shared" si="3"/>
        <v>000</v>
      </c>
    </row>
    <row r="164" spans="1:7" s="72" customFormat="1" ht="12.75">
      <c r="A164" s="373" t="s">
        <v>42</v>
      </c>
      <c r="B164" s="374">
        <v>200</v>
      </c>
      <c r="C164" s="372" t="s">
        <v>112</v>
      </c>
      <c r="D164" s="382">
        <v>7983925.59</v>
      </c>
      <c r="E164" s="383">
        <v>7755242.74</v>
      </c>
      <c r="F164" s="384">
        <v>228682.85</v>
      </c>
      <c r="G164" s="71" t="str">
        <f t="shared" si="3"/>
        <v>500</v>
      </c>
    </row>
    <row r="165" spans="1:7" s="70" customFormat="1" ht="12.75">
      <c r="A165" s="370" t="s">
        <v>512</v>
      </c>
      <c r="B165" s="371">
        <v>200</v>
      </c>
      <c r="C165" s="369" t="s">
        <v>113</v>
      </c>
      <c r="D165" s="385">
        <v>7983925.59</v>
      </c>
      <c r="E165" s="380">
        <v>7755242.74</v>
      </c>
      <c r="F165" s="386">
        <v>228682.85</v>
      </c>
      <c r="G165" s="71" t="str">
        <f t="shared" si="3"/>
        <v>540</v>
      </c>
    </row>
    <row r="166" spans="1:7" s="72" customFormat="1" ht="12.75">
      <c r="A166" s="373" t="s">
        <v>669</v>
      </c>
      <c r="B166" s="374">
        <v>200</v>
      </c>
      <c r="C166" s="372" t="s">
        <v>114</v>
      </c>
      <c r="D166" s="382">
        <v>302667217.62</v>
      </c>
      <c r="E166" s="383">
        <v>279299608.52</v>
      </c>
      <c r="F166" s="384">
        <v>23367609.1</v>
      </c>
      <c r="G166" s="71" t="str">
        <f t="shared" si="3"/>
        <v>000</v>
      </c>
    </row>
    <row r="167" spans="1:7" s="72" customFormat="1" ht="12.75">
      <c r="A167" s="373" t="s">
        <v>1358</v>
      </c>
      <c r="B167" s="374">
        <v>200</v>
      </c>
      <c r="C167" s="372" t="s">
        <v>115</v>
      </c>
      <c r="D167" s="382">
        <v>1738600</v>
      </c>
      <c r="E167" s="383">
        <v>1738600</v>
      </c>
      <c r="F167" s="384">
        <v>0</v>
      </c>
      <c r="G167" s="71" t="str">
        <f t="shared" si="3"/>
        <v>000</v>
      </c>
    </row>
    <row r="168" spans="1:7" s="72" customFormat="1" ht="12.75">
      <c r="A168" s="373" t="s">
        <v>243</v>
      </c>
      <c r="B168" s="374">
        <v>200</v>
      </c>
      <c r="C168" s="372" t="s">
        <v>116</v>
      </c>
      <c r="D168" s="382">
        <v>1738600</v>
      </c>
      <c r="E168" s="383">
        <v>1738600</v>
      </c>
      <c r="F168" s="384">
        <v>0</v>
      </c>
      <c r="G168" s="71" t="str">
        <f t="shared" si="3"/>
        <v>000</v>
      </c>
    </row>
    <row r="169" spans="1:7" s="70" customFormat="1" ht="22.5">
      <c r="A169" s="373" t="s">
        <v>1367</v>
      </c>
      <c r="B169" s="374">
        <v>200</v>
      </c>
      <c r="C169" s="372" t="s">
        <v>117</v>
      </c>
      <c r="D169" s="382">
        <v>1738600</v>
      </c>
      <c r="E169" s="383">
        <v>1738600</v>
      </c>
      <c r="F169" s="384">
        <v>0</v>
      </c>
      <c r="G169" s="71" t="str">
        <f t="shared" si="3"/>
        <v>000</v>
      </c>
    </row>
    <row r="170" spans="1:7" s="70" customFormat="1" ht="33.75">
      <c r="A170" s="373" t="s">
        <v>36</v>
      </c>
      <c r="B170" s="374">
        <v>200</v>
      </c>
      <c r="C170" s="372" t="s">
        <v>118</v>
      </c>
      <c r="D170" s="382">
        <v>1542247.85</v>
      </c>
      <c r="E170" s="383">
        <v>1542247.85</v>
      </c>
      <c r="F170" s="384">
        <v>0</v>
      </c>
      <c r="G170" s="71" t="str">
        <f t="shared" si="3"/>
        <v>100</v>
      </c>
    </row>
    <row r="171" spans="1:7" s="70" customFormat="1" ht="12.75">
      <c r="A171" s="373" t="s">
        <v>37</v>
      </c>
      <c r="B171" s="374">
        <v>200</v>
      </c>
      <c r="C171" s="372" t="s">
        <v>119</v>
      </c>
      <c r="D171" s="382">
        <v>1542247.85</v>
      </c>
      <c r="E171" s="383">
        <v>1542247.85</v>
      </c>
      <c r="F171" s="384">
        <v>0</v>
      </c>
      <c r="G171" s="71" t="str">
        <f t="shared" si="3"/>
        <v>120</v>
      </c>
    </row>
    <row r="172" spans="1:7" s="72" customFormat="1" ht="12.75">
      <c r="A172" s="370" t="s">
        <v>1317</v>
      </c>
      <c r="B172" s="371">
        <v>200</v>
      </c>
      <c r="C172" s="369" t="s">
        <v>120</v>
      </c>
      <c r="D172" s="385">
        <v>1048677.24</v>
      </c>
      <c r="E172" s="380">
        <v>1048677.24</v>
      </c>
      <c r="F172" s="386">
        <v>0</v>
      </c>
      <c r="G172" s="71" t="str">
        <f t="shared" si="3"/>
        <v>121</v>
      </c>
    </row>
    <row r="173" spans="1:7" s="72" customFormat="1" ht="22.5">
      <c r="A173" s="370" t="s">
        <v>244</v>
      </c>
      <c r="B173" s="371">
        <v>200</v>
      </c>
      <c r="C173" s="369" t="s">
        <v>121</v>
      </c>
      <c r="D173" s="385">
        <v>186968</v>
      </c>
      <c r="E173" s="380">
        <v>186968</v>
      </c>
      <c r="F173" s="386">
        <v>0</v>
      </c>
      <c r="G173" s="71" t="str">
        <f t="shared" si="3"/>
        <v>122</v>
      </c>
    </row>
    <row r="174" spans="1:7" s="72" customFormat="1" ht="33.75">
      <c r="A174" s="370" t="s">
        <v>1318</v>
      </c>
      <c r="B174" s="371">
        <v>200</v>
      </c>
      <c r="C174" s="369" t="s">
        <v>122</v>
      </c>
      <c r="D174" s="385">
        <v>306602.61</v>
      </c>
      <c r="E174" s="380">
        <v>306602.61</v>
      </c>
      <c r="F174" s="386">
        <v>0</v>
      </c>
      <c r="G174" s="71" t="str">
        <f t="shared" si="3"/>
        <v>129</v>
      </c>
    </row>
    <row r="175" spans="1:7" s="72" customFormat="1" ht="22.5">
      <c r="A175" s="373" t="s">
        <v>411</v>
      </c>
      <c r="B175" s="374">
        <v>200</v>
      </c>
      <c r="C175" s="372" t="s">
        <v>123</v>
      </c>
      <c r="D175" s="382">
        <v>196352.15</v>
      </c>
      <c r="E175" s="383">
        <v>196352.15</v>
      </c>
      <c r="F175" s="384">
        <v>0</v>
      </c>
      <c r="G175" s="71" t="str">
        <f t="shared" si="3"/>
        <v>200</v>
      </c>
    </row>
    <row r="176" spans="1:7" s="72" customFormat="1" ht="22.5">
      <c r="A176" s="373" t="s">
        <v>38</v>
      </c>
      <c r="B176" s="374">
        <v>200</v>
      </c>
      <c r="C176" s="372" t="s">
        <v>124</v>
      </c>
      <c r="D176" s="382">
        <v>196352.15</v>
      </c>
      <c r="E176" s="383">
        <v>196352.15</v>
      </c>
      <c r="F176" s="384">
        <v>0</v>
      </c>
      <c r="G176" s="71" t="str">
        <f t="shared" si="3"/>
        <v>240</v>
      </c>
    </row>
    <row r="177" spans="1:7" s="72" customFormat="1" ht="12.75">
      <c r="A177" s="370" t="s">
        <v>1658</v>
      </c>
      <c r="B177" s="371">
        <v>200</v>
      </c>
      <c r="C177" s="369" t="s">
        <v>125</v>
      </c>
      <c r="D177" s="385">
        <v>196352.15</v>
      </c>
      <c r="E177" s="380">
        <v>196352.15</v>
      </c>
      <c r="F177" s="386">
        <v>0</v>
      </c>
      <c r="G177" s="71" t="str">
        <f t="shared" si="3"/>
        <v>244</v>
      </c>
    </row>
    <row r="178" spans="1:7" s="72" customFormat="1" ht="12.75">
      <c r="A178" s="373" t="s">
        <v>10</v>
      </c>
      <c r="B178" s="374">
        <v>200</v>
      </c>
      <c r="C178" s="372" t="s">
        <v>126</v>
      </c>
      <c r="D178" s="382">
        <v>130408839.87</v>
      </c>
      <c r="E178" s="383">
        <v>125196402.98</v>
      </c>
      <c r="F178" s="384">
        <v>5212436.89</v>
      </c>
      <c r="G178" s="71" t="str">
        <f t="shared" si="3"/>
        <v>000</v>
      </c>
    </row>
    <row r="179" spans="1:7" s="70" customFormat="1" ht="33.75">
      <c r="A179" s="373" t="s">
        <v>1681</v>
      </c>
      <c r="B179" s="374">
        <v>200</v>
      </c>
      <c r="C179" s="372" t="s">
        <v>127</v>
      </c>
      <c r="D179" s="382">
        <v>111999680.65</v>
      </c>
      <c r="E179" s="383">
        <v>106825403.76</v>
      </c>
      <c r="F179" s="384">
        <v>5174276.89</v>
      </c>
      <c r="G179" s="71" t="str">
        <f t="shared" si="3"/>
        <v>000</v>
      </c>
    </row>
    <row r="180" spans="1:7" s="70" customFormat="1" ht="45">
      <c r="A180" s="377" t="s">
        <v>1594</v>
      </c>
      <c r="B180" s="374">
        <v>200</v>
      </c>
      <c r="C180" s="372" t="s">
        <v>128</v>
      </c>
      <c r="D180" s="382">
        <v>111999680.65</v>
      </c>
      <c r="E180" s="383">
        <v>106825403.76</v>
      </c>
      <c r="F180" s="384">
        <v>5174276.89</v>
      </c>
      <c r="G180" s="71" t="str">
        <f t="shared" si="3"/>
        <v>000</v>
      </c>
    </row>
    <row r="181" spans="1:7" s="72" customFormat="1" ht="45">
      <c r="A181" s="373" t="s">
        <v>1682</v>
      </c>
      <c r="B181" s="374">
        <v>200</v>
      </c>
      <c r="C181" s="372" t="s">
        <v>129</v>
      </c>
      <c r="D181" s="382">
        <v>88781150</v>
      </c>
      <c r="E181" s="383">
        <v>83606873.11</v>
      </c>
      <c r="F181" s="384">
        <v>5174276.89</v>
      </c>
      <c r="G181" s="71" t="str">
        <f t="shared" si="3"/>
        <v>000</v>
      </c>
    </row>
    <row r="182" spans="1:7" s="70" customFormat="1" ht="12.75">
      <c r="A182" s="373" t="s">
        <v>39</v>
      </c>
      <c r="B182" s="374">
        <v>200</v>
      </c>
      <c r="C182" s="372" t="s">
        <v>130</v>
      </c>
      <c r="D182" s="382">
        <v>88781150</v>
      </c>
      <c r="E182" s="383">
        <v>83606873.11</v>
      </c>
      <c r="F182" s="384">
        <v>5174276.89</v>
      </c>
      <c r="G182" s="71" t="str">
        <f t="shared" si="3"/>
        <v>800</v>
      </c>
    </row>
    <row r="183" spans="1:7" s="72" customFormat="1" ht="33.75">
      <c r="A183" s="373" t="s">
        <v>1046</v>
      </c>
      <c r="B183" s="374">
        <v>200</v>
      </c>
      <c r="C183" s="372" t="s">
        <v>131</v>
      </c>
      <c r="D183" s="382">
        <v>88781150</v>
      </c>
      <c r="E183" s="383">
        <v>83606873.11</v>
      </c>
      <c r="F183" s="384">
        <v>5174276.89</v>
      </c>
      <c r="G183" s="71" t="str">
        <f t="shared" si="3"/>
        <v>810</v>
      </c>
    </row>
    <row r="184" spans="1:7" s="72" customFormat="1" ht="33.75">
      <c r="A184" s="370" t="s">
        <v>2093</v>
      </c>
      <c r="B184" s="371">
        <v>200</v>
      </c>
      <c r="C184" s="369" t="s">
        <v>2169</v>
      </c>
      <c r="D184" s="385">
        <v>88781150</v>
      </c>
      <c r="E184" s="380">
        <v>83606873.11</v>
      </c>
      <c r="F184" s="386">
        <v>5174276.89</v>
      </c>
      <c r="G184" s="71" t="str">
        <f t="shared" si="3"/>
        <v>811</v>
      </c>
    </row>
    <row r="185" spans="1:7" s="72" customFormat="1" ht="45">
      <c r="A185" s="373" t="s">
        <v>1683</v>
      </c>
      <c r="B185" s="374">
        <v>200</v>
      </c>
      <c r="C185" s="372" t="s">
        <v>132</v>
      </c>
      <c r="D185" s="382">
        <v>23218530.65</v>
      </c>
      <c r="E185" s="383">
        <v>23218530.65</v>
      </c>
      <c r="F185" s="384">
        <v>0</v>
      </c>
      <c r="G185" s="71" t="str">
        <f t="shared" si="3"/>
        <v>000</v>
      </c>
    </row>
    <row r="186" spans="1:7" s="72" customFormat="1" ht="12.75">
      <c r="A186" s="373" t="s">
        <v>39</v>
      </c>
      <c r="B186" s="374">
        <v>200</v>
      </c>
      <c r="C186" s="372" t="s">
        <v>133</v>
      </c>
      <c r="D186" s="382">
        <v>23218530.65</v>
      </c>
      <c r="E186" s="383">
        <v>23218530.65</v>
      </c>
      <c r="F186" s="384">
        <v>0</v>
      </c>
      <c r="G186" s="71" t="str">
        <f t="shared" si="3"/>
        <v>800</v>
      </c>
    </row>
    <row r="187" spans="1:7" s="72" customFormat="1" ht="33.75">
      <c r="A187" s="373" t="s">
        <v>1046</v>
      </c>
      <c r="B187" s="374">
        <v>200</v>
      </c>
      <c r="C187" s="372" t="s">
        <v>134</v>
      </c>
      <c r="D187" s="382">
        <v>23218530.65</v>
      </c>
      <c r="E187" s="383">
        <v>23218530.65</v>
      </c>
      <c r="F187" s="384">
        <v>0</v>
      </c>
      <c r="G187" s="71" t="str">
        <f t="shared" si="3"/>
        <v>810</v>
      </c>
    </row>
    <row r="188" spans="1:7" s="72" customFormat="1" ht="33.75">
      <c r="A188" s="370" t="s">
        <v>2093</v>
      </c>
      <c r="B188" s="371">
        <v>200</v>
      </c>
      <c r="C188" s="369" t="s">
        <v>2170</v>
      </c>
      <c r="D188" s="385">
        <v>23218530.65</v>
      </c>
      <c r="E188" s="380">
        <v>23218530.65</v>
      </c>
      <c r="F188" s="386">
        <v>0</v>
      </c>
      <c r="G188" s="71" t="str">
        <f t="shared" si="3"/>
        <v>811</v>
      </c>
    </row>
    <row r="189" spans="1:7" s="70" customFormat="1" ht="12.75">
      <c r="A189" s="373" t="s">
        <v>243</v>
      </c>
      <c r="B189" s="374">
        <v>200</v>
      </c>
      <c r="C189" s="372" t="s">
        <v>135</v>
      </c>
      <c r="D189" s="382">
        <v>18409159.22</v>
      </c>
      <c r="E189" s="383">
        <v>18370999.22</v>
      </c>
      <c r="F189" s="384">
        <v>38160</v>
      </c>
      <c r="G189" s="71" t="str">
        <f t="shared" si="3"/>
        <v>000</v>
      </c>
    </row>
    <row r="190" spans="1:7" s="70" customFormat="1" ht="12.75">
      <c r="A190" s="373" t="s">
        <v>1299</v>
      </c>
      <c r="B190" s="374">
        <v>200</v>
      </c>
      <c r="C190" s="372" t="s">
        <v>457</v>
      </c>
      <c r="D190" s="382">
        <v>13195350.8</v>
      </c>
      <c r="E190" s="383">
        <v>13157190.8</v>
      </c>
      <c r="F190" s="384">
        <v>38160</v>
      </c>
      <c r="G190" s="71" t="str">
        <f t="shared" si="3"/>
        <v>000</v>
      </c>
    </row>
    <row r="191" spans="1:7" s="70" customFormat="1" ht="33.75">
      <c r="A191" s="373" t="s">
        <v>36</v>
      </c>
      <c r="B191" s="374">
        <v>200</v>
      </c>
      <c r="C191" s="372" t="s">
        <v>458</v>
      </c>
      <c r="D191" s="382">
        <v>13195350.8</v>
      </c>
      <c r="E191" s="383">
        <v>13157190.8</v>
      </c>
      <c r="F191" s="384">
        <v>38160</v>
      </c>
      <c r="G191" s="71" t="str">
        <f t="shared" si="3"/>
        <v>100</v>
      </c>
    </row>
    <row r="192" spans="1:7" s="70" customFormat="1" ht="12.75">
      <c r="A192" s="373" t="s">
        <v>37</v>
      </c>
      <c r="B192" s="374">
        <v>200</v>
      </c>
      <c r="C192" s="372" t="s">
        <v>459</v>
      </c>
      <c r="D192" s="382">
        <v>13195350.8</v>
      </c>
      <c r="E192" s="383">
        <v>13157190.8</v>
      </c>
      <c r="F192" s="384">
        <v>38160</v>
      </c>
      <c r="G192" s="71" t="str">
        <f t="shared" si="3"/>
        <v>120</v>
      </c>
    </row>
    <row r="193" spans="1:7" s="70" customFormat="1" ht="12.75">
      <c r="A193" s="370" t="s">
        <v>1317</v>
      </c>
      <c r="B193" s="371">
        <v>200</v>
      </c>
      <c r="C193" s="369" t="s">
        <v>460</v>
      </c>
      <c r="D193" s="385">
        <v>9432448.18</v>
      </c>
      <c r="E193" s="380">
        <v>9432448.18</v>
      </c>
      <c r="F193" s="386">
        <v>0</v>
      </c>
      <c r="G193" s="71" t="str">
        <f t="shared" si="3"/>
        <v>121</v>
      </c>
    </row>
    <row r="194" spans="1:7" s="70" customFormat="1" ht="22.5">
      <c r="A194" s="370" t="s">
        <v>244</v>
      </c>
      <c r="B194" s="371">
        <v>200</v>
      </c>
      <c r="C194" s="369" t="s">
        <v>461</v>
      </c>
      <c r="D194" s="385">
        <v>1022505.37</v>
      </c>
      <c r="E194" s="380">
        <v>984345.37</v>
      </c>
      <c r="F194" s="386">
        <v>38160</v>
      </c>
      <c r="G194" s="71" t="str">
        <f t="shared" si="3"/>
        <v>122</v>
      </c>
    </row>
    <row r="195" spans="1:7" s="72" customFormat="1" ht="33.75">
      <c r="A195" s="370" t="s">
        <v>1318</v>
      </c>
      <c r="B195" s="371">
        <v>200</v>
      </c>
      <c r="C195" s="369" t="s">
        <v>462</v>
      </c>
      <c r="D195" s="385">
        <v>2740397.25</v>
      </c>
      <c r="E195" s="380">
        <v>2740397.25</v>
      </c>
      <c r="F195" s="386">
        <v>0</v>
      </c>
      <c r="G195" s="71" t="str">
        <f t="shared" si="3"/>
        <v>129</v>
      </c>
    </row>
    <row r="196" spans="1:7" s="72" customFormat="1" ht="45">
      <c r="A196" s="377" t="s">
        <v>1593</v>
      </c>
      <c r="B196" s="374">
        <v>200</v>
      </c>
      <c r="C196" s="372" t="s">
        <v>463</v>
      </c>
      <c r="D196" s="382">
        <v>725413.56</v>
      </c>
      <c r="E196" s="383">
        <v>725413.56</v>
      </c>
      <c r="F196" s="384">
        <v>0</v>
      </c>
      <c r="G196" s="71" t="str">
        <f t="shared" si="3"/>
        <v>000</v>
      </c>
    </row>
    <row r="197" spans="1:7" s="72" customFormat="1" ht="33.75">
      <c r="A197" s="373" t="s">
        <v>36</v>
      </c>
      <c r="B197" s="374">
        <v>200</v>
      </c>
      <c r="C197" s="372" t="s">
        <v>464</v>
      </c>
      <c r="D197" s="382">
        <v>725413.56</v>
      </c>
      <c r="E197" s="383">
        <v>725413.56</v>
      </c>
      <c r="F197" s="384">
        <v>0</v>
      </c>
      <c r="G197" s="71" t="str">
        <f t="shared" si="3"/>
        <v>100</v>
      </c>
    </row>
    <row r="198" spans="1:7" s="70" customFormat="1" ht="12.75">
      <c r="A198" s="373" t="s">
        <v>37</v>
      </c>
      <c r="B198" s="374">
        <v>200</v>
      </c>
      <c r="C198" s="372" t="s">
        <v>465</v>
      </c>
      <c r="D198" s="382">
        <v>725413.56</v>
      </c>
      <c r="E198" s="383">
        <v>725413.56</v>
      </c>
      <c r="F198" s="384">
        <v>0</v>
      </c>
      <c r="G198" s="71" t="str">
        <f t="shared" si="3"/>
        <v>120</v>
      </c>
    </row>
    <row r="199" spans="1:7" s="72" customFormat="1" ht="12.75">
      <c r="A199" s="370" t="s">
        <v>1317</v>
      </c>
      <c r="B199" s="371">
        <v>200</v>
      </c>
      <c r="C199" s="369" t="s">
        <v>466</v>
      </c>
      <c r="D199" s="385">
        <v>554674.12</v>
      </c>
      <c r="E199" s="380">
        <v>554674.12</v>
      </c>
      <c r="F199" s="386">
        <v>0</v>
      </c>
      <c r="G199" s="71" t="str">
        <f t="shared" si="3"/>
        <v>121</v>
      </c>
    </row>
    <row r="200" spans="1:7" s="72" customFormat="1" ht="33.75">
      <c r="A200" s="370" t="s">
        <v>1318</v>
      </c>
      <c r="B200" s="371">
        <v>200</v>
      </c>
      <c r="C200" s="369" t="s">
        <v>467</v>
      </c>
      <c r="D200" s="385">
        <v>170739.44</v>
      </c>
      <c r="E200" s="380">
        <v>170739.44</v>
      </c>
      <c r="F200" s="386">
        <v>0</v>
      </c>
      <c r="G200" s="71" t="str">
        <f t="shared" si="3"/>
        <v>129</v>
      </c>
    </row>
    <row r="201" spans="1:7" s="72" customFormat="1" ht="78.75">
      <c r="A201" s="377" t="s">
        <v>1986</v>
      </c>
      <c r="B201" s="374">
        <v>200</v>
      </c>
      <c r="C201" s="372" t="s">
        <v>136</v>
      </c>
      <c r="D201" s="382">
        <v>3045718</v>
      </c>
      <c r="E201" s="383">
        <v>3045718</v>
      </c>
      <c r="F201" s="384">
        <v>0</v>
      </c>
      <c r="G201" s="71" t="str">
        <f t="shared" si="3"/>
        <v>000</v>
      </c>
    </row>
    <row r="202" spans="1:7" s="72" customFormat="1" ht="12.75">
      <c r="A202" s="373" t="s">
        <v>42</v>
      </c>
      <c r="B202" s="374">
        <v>200</v>
      </c>
      <c r="C202" s="372" t="s">
        <v>137</v>
      </c>
      <c r="D202" s="382">
        <v>3045718</v>
      </c>
      <c r="E202" s="383">
        <v>3045718</v>
      </c>
      <c r="F202" s="384">
        <v>0</v>
      </c>
      <c r="G202" s="71" t="str">
        <f t="shared" si="3"/>
        <v>500</v>
      </c>
    </row>
    <row r="203" spans="1:7" s="70" customFormat="1" ht="12.75">
      <c r="A203" s="370" t="s">
        <v>512</v>
      </c>
      <c r="B203" s="371">
        <v>200</v>
      </c>
      <c r="C203" s="369" t="s">
        <v>138</v>
      </c>
      <c r="D203" s="385">
        <v>3045718</v>
      </c>
      <c r="E203" s="380">
        <v>3045718</v>
      </c>
      <c r="F203" s="386">
        <v>0</v>
      </c>
      <c r="G203" s="71" t="str">
        <f t="shared" si="3"/>
        <v>540</v>
      </c>
    </row>
    <row r="204" spans="1:7" s="70" customFormat="1" ht="33.75">
      <c r="A204" s="373" t="s">
        <v>1684</v>
      </c>
      <c r="B204" s="374">
        <v>200</v>
      </c>
      <c r="C204" s="372" t="s">
        <v>1685</v>
      </c>
      <c r="D204" s="382">
        <v>313907.77</v>
      </c>
      <c r="E204" s="383">
        <v>313907.77</v>
      </c>
      <c r="F204" s="384">
        <v>0</v>
      </c>
      <c r="G204" s="71" t="str">
        <f t="shared" si="3"/>
        <v>000</v>
      </c>
    </row>
    <row r="205" spans="1:7" s="70" customFormat="1" ht="33.75">
      <c r="A205" s="373" t="s">
        <v>36</v>
      </c>
      <c r="B205" s="374">
        <v>200</v>
      </c>
      <c r="C205" s="372" t="s">
        <v>1686</v>
      </c>
      <c r="D205" s="382">
        <v>124292.36</v>
      </c>
      <c r="E205" s="383">
        <v>124292.36</v>
      </c>
      <c r="F205" s="384">
        <v>0</v>
      </c>
      <c r="G205" s="71" t="str">
        <f t="shared" si="3"/>
        <v>100</v>
      </c>
    </row>
    <row r="206" spans="1:7" s="70" customFormat="1" ht="12.75">
      <c r="A206" s="373" t="s">
        <v>37</v>
      </c>
      <c r="B206" s="374">
        <v>200</v>
      </c>
      <c r="C206" s="372" t="s">
        <v>1687</v>
      </c>
      <c r="D206" s="382">
        <v>124292.36</v>
      </c>
      <c r="E206" s="383">
        <v>124292.36</v>
      </c>
      <c r="F206" s="384">
        <v>0</v>
      </c>
      <c r="G206" s="71" t="str">
        <f t="shared" si="3"/>
        <v>120</v>
      </c>
    </row>
    <row r="207" spans="1:7" s="72" customFormat="1" ht="12.75">
      <c r="A207" s="370" t="s">
        <v>1317</v>
      </c>
      <c r="B207" s="371">
        <v>200</v>
      </c>
      <c r="C207" s="369" t="s">
        <v>1688</v>
      </c>
      <c r="D207" s="385">
        <v>95462.64</v>
      </c>
      <c r="E207" s="380">
        <v>95462.64</v>
      </c>
      <c r="F207" s="386">
        <v>0</v>
      </c>
      <c r="G207" s="71" t="str">
        <f t="shared" si="3"/>
        <v>121</v>
      </c>
    </row>
    <row r="208" spans="1:7" s="72" customFormat="1" ht="33.75">
      <c r="A208" s="370" t="s">
        <v>1318</v>
      </c>
      <c r="B208" s="371">
        <v>200</v>
      </c>
      <c r="C208" s="369" t="s">
        <v>1689</v>
      </c>
      <c r="D208" s="385">
        <v>28829.72</v>
      </c>
      <c r="E208" s="380">
        <v>28829.72</v>
      </c>
      <c r="F208" s="386">
        <v>0</v>
      </c>
      <c r="G208" s="71" t="str">
        <f t="shared" si="3"/>
        <v>129</v>
      </c>
    </row>
    <row r="209" spans="1:7" s="72" customFormat="1" ht="22.5">
      <c r="A209" s="373" t="s">
        <v>411</v>
      </c>
      <c r="B209" s="374">
        <v>200</v>
      </c>
      <c r="C209" s="372" t="s">
        <v>1690</v>
      </c>
      <c r="D209" s="382">
        <v>189615.41</v>
      </c>
      <c r="E209" s="383">
        <v>189615.41</v>
      </c>
      <c r="F209" s="384">
        <v>0</v>
      </c>
      <c r="G209" s="71" t="str">
        <f t="shared" si="3"/>
        <v>200</v>
      </c>
    </row>
    <row r="210" spans="1:7" s="70" customFormat="1" ht="22.5">
      <c r="A210" s="373" t="s">
        <v>38</v>
      </c>
      <c r="B210" s="374">
        <v>200</v>
      </c>
      <c r="C210" s="372" t="s">
        <v>1691</v>
      </c>
      <c r="D210" s="382">
        <v>189615.41</v>
      </c>
      <c r="E210" s="383">
        <v>189615.41</v>
      </c>
      <c r="F210" s="384">
        <v>0</v>
      </c>
      <c r="G210" s="71" t="str">
        <f t="shared" si="3"/>
        <v>240</v>
      </c>
    </row>
    <row r="211" spans="1:7" s="72" customFormat="1" ht="12.75">
      <c r="A211" s="370" t="s">
        <v>1658</v>
      </c>
      <c r="B211" s="371">
        <v>200</v>
      </c>
      <c r="C211" s="369" t="s">
        <v>1692</v>
      </c>
      <c r="D211" s="385">
        <v>189615.41</v>
      </c>
      <c r="E211" s="380">
        <v>189615.41</v>
      </c>
      <c r="F211" s="386">
        <v>0</v>
      </c>
      <c r="G211" s="71" t="str">
        <f t="shared" si="3"/>
        <v>244</v>
      </c>
    </row>
    <row r="212" spans="1:7" s="72" customFormat="1" ht="33.75">
      <c r="A212" s="373" t="s">
        <v>2254</v>
      </c>
      <c r="B212" s="374">
        <v>200</v>
      </c>
      <c r="C212" s="372" t="s">
        <v>2265</v>
      </c>
      <c r="D212" s="382">
        <v>677262.09</v>
      </c>
      <c r="E212" s="383">
        <v>677262.09</v>
      </c>
      <c r="F212" s="384">
        <v>0</v>
      </c>
      <c r="G212" s="71" t="str">
        <f t="shared" si="3"/>
        <v>000</v>
      </c>
    </row>
    <row r="213" spans="1:7" s="72" customFormat="1" ht="33.75">
      <c r="A213" s="373" t="s">
        <v>36</v>
      </c>
      <c r="B213" s="374">
        <v>200</v>
      </c>
      <c r="C213" s="372" t="s">
        <v>2266</v>
      </c>
      <c r="D213" s="382">
        <v>677262.09</v>
      </c>
      <c r="E213" s="383">
        <v>677262.09</v>
      </c>
      <c r="F213" s="384">
        <v>0</v>
      </c>
      <c r="G213" s="71" t="str">
        <f t="shared" si="3"/>
        <v>100</v>
      </c>
    </row>
    <row r="214" spans="1:7" s="72" customFormat="1" ht="12.75">
      <c r="A214" s="373" t="s">
        <v>37</v>
      </c>
      <c r="B214" s="374">
        <v>200</v>
      </c>
      <c r="C214" s="372" t="s">
        <v>2267</v>
      </c>
      <c r="D214" s="382">
        <v>677262.09</v>
      </c>
      <c r="E214" s="383">
        <v>677262.09</v>
      </c>
      <c r="F214" s="384">
        <v>0</v>
      </c>
      <c r="G214" s="71" t="str">
        <f t="shared" si="3"/>
        <v>120</v>
      </c>
    </row>
    <row r="215" spans="1:7" s="70" customFormat="1" ht="12.75">
      <c r="A215" s="370" t="s">
        <v>1317</v>
      </c>
      <c r="B215" s="371">
        <v>200</v>
      </c>
      <c r="C215" s="369" t="s">
        <v>2268</v>
      </c>
      <c r="D215" s="385">
        <v>534558.21</v>
      </c>
      <c r="E215" s="380">
        <v>534558.21</v>
      </c>
      <c r="F215" s="386">
        <v>0</v>
      </c>
      <c r="G215" s="71" t="str">
        <f t="shared" si="3"/>
        <v>121</v>
      </c>
    </row>
    <row r="216" spans="1:7" s="72" customFormat="1" ht="33.75">
      <c r="A216" s="370" t="s">
        <v>1318</v>
      </c>
      <c r="B216" s="371">
        <v>200</v>
      </c>
      <c r="C216" s="369" t="s">
        <v>2269</v>
      </c>
      <c r="D216" s="385">
        <v>142703.88</v>
      </c>
      <c r="E216" s="380">
        <v>142703.88</v>
      </c>
      <c r="F216" s="386">
        <v>0</v>
      </c>
      <c r="G216" s="71" t="str">
        <f t="shared" si="3"/>
        <v>129</v>
      </c>
    </row>
    <row r="217" spans="1:7" s="72" customFormat="1" ht="22.5">
      <c r="A217" s="373" t="s">
        <v>1811</v>
      </c>
      <c r="B217" s="374">
        <v>200</v>
      </c>
      <c r="C217" s="372" t="s">
        <v>1826</v>
      </c>
      <c r="D217" s="382">
        <v>451507</v>
      </c>
      <c r="E217" s="383">
        <v>451507</v>
      </c>
      <c r="F217" s="384">
        <v>0</v>
      </c>
      <c r="G217" s="71" t="str">
        <f t="shared" si="3"/>
        <v>000</v>
      </c>
    </row>
    <row r="218" spans="1:7" s="72" customFormat="1" ht="33.75">
      <c r="A218" s="373" t="s">
        <v>36</v>
      </c>
      <c r="B218" s="374">
        <v>200</v>
      </c>
      <c r="C218" s="372" t="s">
        <v>1827</v>
      </c>
      <c r="D218" s="382">
        <v>451507</v>
      </c>
      <c r="E218" s="383">
        <v>451507</v>
      </c>
      <c r="F218" s="384">
        <v>0</v>
      </c>
      <c r="G218" s="71" t="str">
        <f t="shared" si="3"/>
        <v>100</v>
      </c>
    </row>
    <row r="219" spans="1:7" s="72" customFormat="1" ht="12.75">
      <c r="A219" s="373" t="s">
        <v>37</v>
      </c>
      <c r="B219" s="374">
        <v>200</v>
      </c>
      <c r="C219" s="372" t="s">
        <v>1828</v>
      </c>
      <c r="D219" s="382">
        <v>451507</v>
      </c>
      <c r="E219" s="383">
        <v>451507</v>
      </c>
      <c r="F219" s="384">
        <v>0</v>
      </c>
      <c r="G219" s="71" t="str">
        <f t="shared" si="3"/>
        <v>120</v>
      </c>
    </row>
    <row r="220" spans="1:7" s="70" customFormat="1" ht="12.75">
      <c r="A220" s="370" t="s">
        <v>1317</v>
      </c>
      <c r="B220" s="371">
        <v>200</v>
      </c>
      <c r="C220" s="369" t="s">
        <v>1829</v>
      </c>
      <c r="D220" s="385">
        <v>346780</v>
      </c>
      <c r="E220" s="380">
        <v>346780</v>
      </c>
      <c r="F220" s="386">
        <v>0</v>
      </c>
      <c r="G220" s="71" t="str">
        <f t="shared" si="3"/>
        <v>121</v>
      </c>
    </row>
    <row r="221" spans="1:7" s="72" customFormat="1" ht="33.75">
      <c r="A221" s="370" t="s">
        <v>1318</v>
      </c>
      <c r="B221" s="371">
        <v>200</v>
      </c>
      <c r="C221" s="369" t="s">
        <v>1830</v>
      </c>
      <c r="D221" s="385">
        <v>104727</v>
      </c>
      <c r="E221" s="380">
        <v>104727</v>
      </c>
      <c r="F221" s="386">
        <v>0</v>
      </c>
      <c r="G221" s="71" t="str">
        <f t="shared" si="3"/>
        <v>129</v>
      </c>
    </row>
    <row r="222" spans="1:7" s="70" customFormat="1" ht="12.75">
      <c r="A222" s="373" t="s">
        <v>614</v>
      </c>
      <c r="B222" s="374">
        <v>200</v>
      </c>
      <c r="C222" s="372" t="s">
        <v>139</v>
      </c>
      <c r="D222" s="382">
        <v>86763861.45</v>
      </c>
      <c r="E222" s="383">
        <v>86309628.79</v>
      </c>
      <c r="F222" s="384">
        <v>454232.66</v>
      </c>
      <c r="G222" s="71" t="str">
        <f aca="true" t="shared" si="4" ref="G222:G283">RIGHT(C222,3)</f>
        <v>000</v>
      </c>
    </row>
    <row r="223" spans="1:7" s="70" customFormat="1" ht="33.75">
      <c r="A223" s="373" t="s">
        <v>1681</v>
      </c>
      <c r="B223" s="374">
        <v>200</v>
      </c>
      <c r="C223" s="372" t="s">
        <v>140</v>
      </c>
      <c r="D223" s="382">
        <v>17639461.45</v>
      </c>
      <c r="E223" s="383">
        <v>17185228.79</v>
      </c>
      <c r="F223" s="384">
        <v>454232.66</v>
      </c>
      <c r="G223" s="71" t="str">
        <f t="shared" si="4"/>
        <v>000</v>
      </c>
    </row>
    <row r="224" spans="1:7" s="72" customFormat="1" ht="45">
      <c r="A224" s="373" t="s">
        <v>1596</v>
      </c>
      <c r="B224" s="374">
        <v>200</v>
      </c>
      <c r="C224" s="372" t="s">
        <v>141</v>
      </c>
      <c r="D224" s="382">
        <v>17639461.45</v>
      </c>
      <c r="E224" s="383">
        <v>17185228.79</v>
      </c>
      <c r="F224" s="384">
        <v>454232.66</v>
      </c>
      <c r="G224" s="71" t="str">
        <f t="shared" si="4"/>
        <v>000</v>
      </c>
    </row>
    <row r="225" spans="1:7" s="72" customFormat="1" ht="12.75">
      <c r="A225" s="373" t="s">
        <v>1349</v>
      </c>
      <c r="B225" s="374">
        <v>200</v>
      </c>
      <c r="C225" s="372" t="s">
        <v>262</v>
      </c>
      <c r="D225" s="382">
        <v>17639461.45</v>
      </c>
      <c r="E225" s="383">
        <v>17185228.79</v>
      </c>
      <c r="F225" s="384">
        <v>454232.66</v>
      </c>
      <c r="G225" s="71" t="str">
        <f t="shared" si="4"/>
        <v>000</v>
      </c>
    </row>
    <row r="226" spans="1:7" s="70" customFormat="1" ht="22.5">
      <c r="A226" s="373" t="s">
        <v>411</v>
      </c>
      <c r="B226" s="374">
        <v>200</v>
      </c>
      <c r="C226" s="372" t="s">
        <v>263</v>
      </c>
      <c r="D226" s="382">
        <v>17639461.45</v>
      </c>
      <c r="E226" s="383">
        <v>17185228.79</v>
      </c>
      <c r="F226" s="384">
        <v>454232.66</v>
      </c>
      <c r="G226" s="71" t="str">
        <f t="shared" si="4"/>
        <v>200</v>
      </c>
    </row>
    <row r="227" spans="1:7" s="72" customFormat="1" ht="22.5">
      <c r="A227" s="373" t="s">
        <v>38</v>
      </c>
      <c r="B227" s="374">
        <v>200</v>
      </c>
      <c r="C227" s="372" t="s">
        <v>264</v>
      </c>
      <c r="D227" s="382">
        <v>17639461.45</v>
      </c>
      <c r="E227" s="383">
        <v>17185228.79</v>
      </c>
      <c r="F227" s="384">
        <v>454232.66</v>
      </c>
      <c r="G227" s="71" t="str">
        <f t="shared" si="4"/>
        <v>240</v>
      </c>
    </row>
    <row r="228" spans="1:7" s="72" customFormat="1" ht="12.75">
      <c r="A228" s="370" t="s">
        <v>1658</v>
      </c>
      <c r="B228" s="371">
        <v>200</v>
      </c>
      <c r="C228" s="369" t="s">
        <v>265</v>
      </c>
      <c r="D228" s="385">
        <v>17639461.45</v>
      </c>
      <c r="E228" s="380">
        <v>17185228.79</v>
      </c>
      <c r="F228" s="386">
        <v>454232.66</v>
      </c>
      <c r="G228" s="71" t="str">
        <f t="shared" si="4"/>
        <v>244</v>
      </c>
    </row>
    <row r="229" spans="1:7" s="72" customFormat="1" ht="12.75">
      <c r="A229" s="373" t="s">
        <v>243</v>
      </c>
      <c r="B229" s="374">
        <v>200</v>
      </c>
      <c r="C229" s="372" t="s">
        <v>1831</v>
      </c>
      <c r="D229" s="382">
        <v>69124400</v>
      </c>
      <c r="E229" s="383">
        <v>69124400</v>
      </c>
      <c r="F229" s="384">
        <v>0</v>
      </c>
      <c r="G229" s="71" t="str">
        <f t="shared" si="4"/>
        <v>000</v>
      </c>
    </row>
    <row r="230" spans="1:7" s="70" customFormat="1" ht="33.75">
      <c r="A230" s="373" t="s">
        <v>1833</v>
      </c>
      <c r="B230" s="374">
        <v>200</v>
      </c>
      <c r="C230" s="372" t="s">
        <v>1834</v>
      </c>
      <c r="D230" s="382">
        <v>53611700</v>
      </c>
      <c r="E230" s="383">
        <v>53611700</v>
      </c>
      <c r="F230" s="384">
        <v>0</v>
      </c>
      <c r="G230" s="71" t="str">
        <f t="shared" si="4"/>
        <v>000</v>
      </c>
    </row>
    <row r="231" spans="1:7" s="72" customFormat="1" ht="12.75">
      <c r="A231" s="373" t="s">
        <v>42</v>
      </c>
      <c r="B231" s="374">
        <v>200</v>
      </c>
      <c r="C231" s="372" t="s">
        <v>1835</v>
      </c>
      <c r="D231" s="382">
        <v>53611700</v>
      </c>
      <c r="E231" s="383">
        <v>53611700</v>
      </c>
      <c r="F231" s="384">
        <v>0</v>
      </c>
      <c r="G231" s="71" t="str">
        <f t="shared" si="4"/>
        <v>500</v>
      </c>
    </row>
    <row r="232" spans="1:7" s="72" customFormat="1" ht="12.75">
      <c r="A232" s="370" t="s">
        <v>512</v>
      </c>
      <c r="B232" s="371">
        <v>200</v>
      </c>
      <c r="C232" s="369" t="s">
        <v>1836</v>
      </c>
      <c r="D232" s="385">
        <v>53611700</v>
      </c>
      <c r="E232" s="380">
        <v>53611700</v>
      </c>
      <c r="F232" s="386">
        <v>0</v>
      </c>
      <c r="G232" s="71" t="str">
        <f t="shared" si="4"/>
        <v>540</v>
      </c>
    </row>
    <row r="233" spans="1:7" s="72" customFormat="1" ht="22.5">
      <c r="A233" s="373" t="s">
        <v>1832</v>
      </c>
      <c r="B233" s="374">
        <v>200</v>
      </c>
      <c r="C233" s="372" t="s">
        <v>2209</v>
      </c>
      <c r="D233" s="382">
        <v>252900</v>
      </c>
      <c r="E233" s="383">
        <v>252900</v>
      </c>
      <c r="F233" s="384">
        <v>0</v>
      </c>
      <c r="G233" s="71" t="str">
        <f t="shared" si="4"/>
        <v>000</v>
      </c>
    </row>
    <row r="234" spans="1:7" s="72" customFormat="1" ht="12.75">
      <c r="A234" s="373" t="s">
        <v>42</v>
      </c>
      <c r="B234" s="374">
        <v>200</v>
      </c>
      <c r="C234" s="372" t="s">
        <v>2210</v>
      </c>
      <c r="D234" s="382">
        <v>252900</v>
      </c>
      <c r="E234" s="383">
        <v>252900</v>
      </c>
      <c r="F234" s="384">
        <v>0</v>
      </c>
      <c r="G234" s="71" t="str">
        <f t="shared" si="4"/>
        <v>500</v>
      </c>
    </row>
    <row r="235" spans="1:7" s="72" customFormat="1" ht="12.75">
      <c r="A235" s="370" t="s">
        <v>512</v>
      </c>
      <c r="B235" s="371">
        <v>200</v>
      </c>
      <c r="C235" s="369" t="s">
        <v>2211</v>
      </c>
      <c r="D235" s="385">
        <v>252900</v>
      </c>
      <c r="E235" s="380">
        <v>252900</v>
      </c>
      <c r="F235" s="386">
        <v>0</v>
      </c>
      <c r="G235" s="71" t="str">
        <f t="shared" si="4"/>
        <v>540</v>
      </c>
    </row>
    <row r="236" spans="1:7" s="72" customFormat="1" ht="22.5">
      <c r="A236" s="373" t="s">
        <v>1837</v>
      </c>
      <c r="B236" s="374">
        <v>200</v>
      </c>
      <c r="C236" s="372" t="s">
        <v>2212</v>
      </c>
      <c r="D236" s="382">
        <v>8768300</v>
      </c>
      <c r="E236" s="383">
        <v>8768300</v>
      </c>
      <c r="F236" s="384">
        <v>0</v>
      </c>
      <c r="G236" s="71" t="str">
        <f t="shared" si="4"/>
        <v>000</v>
      </c>
    </row>
    <row r="237" spans="1:7" s="72" customFormat="1" ht="12.75">
      <c r="A237" s="373" t="s">
        <v>42</v>
      </c>
      <c r="B237" s="374">
        <v>200</v>
      </c>
      <c r="C237" s="372" t="s">
        <v>2213</v>
      </c>
      <c r="D237" s="382">
        <v>8768300</v>
      </c>
      <c r="E237" s="383">
        <v>8768300</v>
      </c>
      <c r="F237" s="384">
        <v>0</v>
      </c>
      <c r="G237" s="71" t="str">
        <f t="shared" si="4"/>
        <v>500</v>
      </c>
    </row>
    <row r="238" spans="1:7" s="72" customFormat="1" ht="12.75">
      <c r="A238" s="370" t="s">
        <v>512</v>
      </c>
      <c r="B238" s="371">
        <v>200</v>
      </c>
      <c r="C238" s="369" t="s">
        <v>2214</v>
      </c>
      <c r="D238" s="385">
        <v>8768300</v>
      </c>
      <c r="E238" s="380">
        <v>8768300</v>
      </c>
      <c r="F238" s="386">
        <v>0</v>
      </c>
      <c r="G238" s="71" t="str">
        <f t="shared" si="4"/>
        <v>540</v>
      </c>
    </row>
    <row r="239" spans="1:7" s="72" customFormat="1" ht="33.75">
      <c r="A239" s="373" t="s">
        <v>2171</v>
      </c>
      <c r="B239" s="374">
        <v>200</v>
      </c>
      <c r="C239" s="372" t="s">
        <v>2215</v>
      </c>
      <c r="D239" s="382">
        <v>6491500</v>
      </c>
      <c r="E239" s="383">
        <v>6491500</v>
      </c>
      <c r="F239" s="384">
        <v>0</v>
      </c>
      <c r="G239" s="71" t="str">
        <f t="shared" si="4"/>
        <v>000</v>
      </c>
    </row>
    <row r="240" spans="1:7" s="72" customFormat="1" ht="12.75">
      <c r="A240" s="373" t="s">
        <v>42</v>
      </c>
      <c r="B240" s="374">
        <v>200</v>
      </c>
      <c r="C240" s="372" t="s">
        <v>2216</v>
      </c>
      <c r="D240" s="382">
        <v>6491500</v>
      </c>
      <c r="E240" s="383">
        <v>6491500</v>
      </c>
      <c r="F240" s="384">
        <v>0</v>
      </c>
      <c r="G240" s="71" t="str">
        <f t="shared" si="4"/>
        <v>500</v>
      </c>
    </row>
    <row r="241" spans="1:7" s="72" customFormat="1" ht="12.75">
      <c r="A241" s="370" t="s">
        <v>512</v>
      </c>
      <c r="B241" s="371">
        <v>200</v>
      </c>
      <c r="C241" s="369" t="s">
        <v>2217</v>
      </c>
      <c r="D241" s="385">
        <v>6491500</v>
      </c>
      <c r="E241" s="380">
        <v>6491500</v>
      </c>
      <c r="F241" s="386">
        <v>0</v>
      </c>
      <c r="G241" s="71" t="str">
        <f t="shared" si="4"/>
        <v>540</v>
      </c>
    </row>
    <row r="242" spans="1:7" s="72" customFormat="1" ht="12.75">
      <c r="A242" s="373" t="s">
        <v>2089</v>
      </c>
      <c r="B242" s="374">
        <v>200</v>
      </c>
      <c r="C242" s="372" t="s">
        <v>2096</v>
      </c>
      <c r="D242" s="382">
        <v>7023316.3</v>
      </c>
      <c r="E242" s="383">
        <v>6140297.32</v>
      </c>
      <c r="F242" s="384">
        <v>883018.98</v>
      </c>
      <c r="G242" s="71" t="str">
        <f t="shared" si="4"/>
        <v>000</v>
      </c>
    </row>
    <row r="243" spans="1:7" s="72" customFormat="1" ht="33.75">
      <c r="A243" s="373" t="s">
        <v>1681</v>
      </c>
      <c r="B243" s="374">
        <v>200</v>
      </c>
      <c r="C243" s="372" t="s">
        <v>2097</v>
      </c>
      <c r="D243" s="382">
        <v>7023316.3</v>
      </c>
      <c r="E243" s="383">
        <v>6140297.32</v>
      </c>
      <c r="F243" s="384">
        <v>883018.98</v>
      </c>
      <c r="G243" s="71" t="str">
        <f t="shared" si="4"/>
        <v>000</v>
      </c>
    </row>
    <row r="244" spans="1:7" s="70" customFormat="1" ht="22.5">
      <c r="A244" s="373" t="s">
        <v>2090</v>
      </c>
      <c r="B244" s="374">
        <v>200</v>
      </c>
      <c r="C244" s="372" t="s">
        <v>2098</v>
      </c>
      <c r="D244" s="382">
        <v>7023316.3</v>
      </c>
      <c r="E244" s="383">
        <v>6140297.32</v>
      </c>
      <c r="F244" s="384">
        <v>883018.98</v>
      </c>
      <c r="G244" s="71" t="str">
        <f t="shared" si="4"/>
        <v>000</v>
      </c>
    </row>
    <row r="245" spans="1:7" s="72" customFormat="1" ht="22.5">
      <c r="A245" s="373" t="s">
        <v>411</v>
      </c>
      <c r="B245" s="374">
        <v>200</v>
      </c>
      <c r="C245" s="372" t="s">
        <v>2099</v>
      </c>
      <c r="D245" s="382">
        <v>7023316.3</v>
      </c>
      <c r="E245" s="383">
        <v>6140297.32</v>
      </c>
      <c r="F245" s="384">
        <v>883018.98</v>
      </c>
      <c r="G245" s="71" t="str">
        <f t="shared" si="4"/>
        <v>200</v>
      </c>
    </row>
    <row r="246" spans="1:7" s="72" customFormat="1" ht="22.5">
      <c r="A246" s="373" t="s">
        <v>38</v>
      </c>
      <c r="B246" s="374">
        <v>200</v>
      </c>
      <c r="C246" s="372" t="s">
        <v>2100</v>
      </c>
      <c r="D246" s="382">
        <v>7023316.3</v>
      </c>
      <c r="E246" s="383">
        <v>6140297.32</v>
      </c>
      <c r="F246" s="384">
        <v>883018.98</v>
      </c>
      <c r="G246" s="71" t="str">
        <f t="shared" si="4"/>
        <v>240</v>
      </c>
    </row>
    <row r="247" spans="1:7" s="72" customFormat="1" ht="12.75">
      <c r="A247" s="370" t="s">
        <v>1658</v>
      </c>
      <c r="B247" s="371">
        <v>200</v>
      </c>
      <c r="C247" s="369" t="s">
        <v>2101</v>
      </c>
      <c r="D247" s="385">
        <v>7023316.3</v>
      </c>
      <c r="E247" s="380">
        <v>6140297.32</v>
      </c>
      <c r="F247" s="386">
        <v>883018.98</v>
      </c>
      <c r="G247" s="71" t="str">
        <f t="shared" si="4"/>
        <v>244</v>
      </c>
    </row>
    <row r="248" spans="1:7" s="72" customFormat="1" ht="12.75">
      <c r="A248" s="373" t="s">
        <v>604</v>
      </c>
      <c r="B248" s="374">
        <v>200</v>
      </c>
      <c r="C248" s="372" t="s">
        <v>1169</v>
      </c>
      <c r="D248" s="382">
        <v>76732600</v>
      </c>
      <c r="E248" s="383">
        <v>59914679.43</v>
      </c>
      <c r="F248" s="384">
        <v>16817920.57</v>
      </c>
      <c r="G248" s="71" t="str">
        <f t="shared" si="4"/>
        <v>000</v>
      </c>
    </row>
    <row r="249" spans="1:7" s="72" customFormat="1" ht="45">
      <c r="A249" s="377" t="s">
        <v>1597</v>
      </c>
      <c r="B249" s="374">
        <v>200</v>
      </c>
      <c r="C249" s="372" t="s">
        <v>1170</v>
      </c>
      <c r="D249" s="382">
        <v>73232600</v>
      </c>
      <c r="E249" s="383">
        <v>56796463.39</v>
      </c>
      <c r="F249" s="384">
        <v>16436136.61</v>
      </c>
      <c r="G249" s="71" t="str">
        <f t="shared" si="4"/>
        <v>000</v>
      </c>
    </row>
    <row r="250" spans="1:7" s="70" customFormat="1" ht="56.25">
      <c r="A250" s="377" t="s">
        <v>1693</v>
      </c>
      <c r="B250" s="374">
        <v>200</v>
      </c>
      <c r="C250" s="372" t="s">
        <v>788</v>
      </c>
      <c r="D250" s="382">
        <v>5195000</v>
      </c>
      <c r="E250" s="383">
        <v>2470799.1</v>
      </c>
      <c r="F250" s="384">
        <v>2724200.9</v>
      </c>
      <c r="G250" s="71" t="str">
        <f t="shared" si="4"/>
        <v>000</v>
      </c>
    </row>
    <row r="251" spans="1:7" s="72" customFormat="1" ht="12.75">
      <c r="A251" s="373" t="s">
        <v>39</v>
      </c>
      <c r="B251" s="374">
        <v>200</v>
      </c>
      <c r="C251" s="372" t="s">
        <v>789</v>
      </c>
      <c r="D251" s="382">
        <v>5195000</v>
      </c>
      <c r="E251" s="383">
        <v>2470799.1</v>
      </c>
      <c r="F251" s="384">
        <v>2724200.9</v>
      </c>
      <c r="G251" s="71" t="str">
        <f t="shared" si="4"/>
        <v>800</v>
      </c>
    </row>
    <row r="252" spans="1:7" s="72" customFormat="1" ht="33.75">
      <c r="A252" s="373" t="s">
        <v>1046</v>
      </c>
      <c r="B252" s="374">
        <v>200</v>
      </c>
      <c r="C252" s="372" t="s">
        <v>790</v>
      </c>
      <c r="D252" s="382">
        <v>5195000</v>
      </c>
      <c r="E252" s="383">
        <v>2470799.1</v>
      </c>
      <c r="F252" s="384">
        <v>2724200.9</v>
      </c>
      <c r="G252" s="71" t="str">
        <f t="shared" si="4"/>
        <v>810</v>
      </c>
    </row>
    <row r="253" spans="1:7" s="70" customFormat="1" ht="33.75">
      <c r="A253" s="370" t="s">
        <v>2093</v>
      </c>
      <c r="B253" s="371">
        <v>200</v>
      </c>
      <c r="C253" s="369" t="s">
        <v>2172</v>
      </c>
      <c r="D253" s="385">
        <v>5195000</v>
      </c>
      <c r="E253" s="380">
        <v>2470799.1</v>
      </c>
      <c r="F253" s="386">
        <v>2724200.9</v>
      </c>
      <c r="G253" s="71" t="str">
        <f t="shared" si="4"/>
        <v>811</v>
      </c>
    </row>
    <row r="254" spans="1:7" s="72" customFormat="1" ht="157.5">
      <c r="A254" s="377" t="s">
        <v>1694</v>
      </c>
      <c r="B254" s="374">
        <v>200</v>
      </c>
      <c r="C254" s="372" t="s">
        <v>806</v>
      </c>
      <c r="D254" s="382">
        <v>37363500</v>
      </c>
      <c r="E254" s="383">
        <v>23720838.05</v>
      </c>
      <c r="F254" s="384">
        <v>13642661.95</v>
      </c>
      <c r="G254" s="71" t="str">
        <f t="shared" si="4"/>
        <v>000</v>
      </c>
    </row>
    <row r="255" spans="1:7" s="72" customFormat="1" ht="12.75">
      <c r="A255" s="373" t="s">
        <v>39</v>
      </c>
      <c r="B255" s="374">
        <v>200</v>
      </c>
      <c r="C255" s="372" t="s">
        <v>807</v>
      </c>
      <c r="D255" s="382">
        <v>37363500</v>
      </c>
      <c r="E255" s="383">
        <v>23720838.05</v>
      </c>
      <c r="F255" s="384">
        <v>13642661.95</v>
      </c>
      <c r="G255" s="71" t="str">
        <f t="shared" si="4"/>
        <v>800</v>
      </c>
    </row>
    <row r="256" spans="1:7" s="72" customFormat="1" ht="33.75">
      <c r="A256" s="373" t="s">
        <v>1046</v>
      </c>
      <c r="B256" s="374">
        <v>200</v>
      </c>
      <c r="C256" s="372" t="s">
        <v>808</v>
      </c>
      <c r="D256" s="382">
        <v>37363500</v>
      </c>
      <c r="E256" s="383">
        <v>23720838.05</v>
      </c>
      <c r="F256" s="384">
        <v>13642661.95</v>
      </c>
      <c r="G256" s="71" t="str">
        <f t="shared" si="4"/>
        <v>810</v>
      </c>
    </row>
    <row r="257" spans="1:7" s="72" customFormat="1" ht="33.75">
      <c r="A257" s="370" t="s">
        <v>2093</v>
      </c>
      <c r="B257" s="371">
        <v>200</v>
      </c>
      <c r="C257" s="369" t="s">
        <v>2173</v>
      </c>
      <c r="D257" s="385">
        <v>37363500</v>
      </c>
      <c r="E257" s="380">
        <v>23720838.05</v>
      </c>
      <c r="F257" s="386">
        <v>13642661.95</v>
      </c>
      <c r="G257" s="71" t="str">
        <f t="shared" si="4"/>
        <v>811</v>
      </c>
    </row>
    <row r="258" spans="1:7" s="70" customFormat="1" ht="112.5">
      <c r="A258" s="377" t="s">
        <v>1695</v>
      </c>
      <c r="B258" s="374">
        <v>200</v>
      </c>
      <c r="C258" s="372" t="s">
        <v>809</v>
      </c>
      <c r="D258" s="382">
        <v>9828300</v>
      </c>
      <c r="E258" s="383">
        <v>9816635.6</v>
      </c>
      <c r="F258" s="384">
        <v>11664.4</v>
      </c>
      <c r="G258" s="71" t="str">
        <f t="shared" si="4"/>
        <v>000</v>
      </c>
    </row>
    <row r="259" spans="1:7" s="72" customFormat="1" ht="22.5">
      <c r="A259" s="373" t="s">
        <v>411</v>
      </c>
      <c r="B259" s="374">
        <v>200</v>
      </c>
      <c r="C259" s="372" t="s">
        <v>810</v>
      </c>
      <c r="D259" s="382">
        <v>9828300</v>
      </c>
      <c r="E259" s="383">
        <v>9816635.6</v>
      </c>
      <c r="F259" s="384">
        <v>11664.4</v>
      </c>
      <c r="G259" s="71" t="str">
        <f t="shared" si="4"/>
        <v>200</v>
      </c>
    </row>
    <row r="260" spans="1:7" s="72" customFormat="1" ht="22.5">
      <c r="A260" s="373" t="s">
        <v>38</v>
      </c>
      <c r="B260" s="374">
        <v>200</v>
      </c>
      <c r="C260" s="372" t="s">
        <v>811</v>
      </c>
      <c r="D260" s="382">
        <v>9828300</v>
      </c>
      <c r="E260" s="383">
        <v>9816635.6</v>
      </c>
      <c r="F260" s="384">
        <v>11664.4</v>
      </c>
      <c r="G260" s="71" t="str">
        <f t="shared" si="4"/>
        <v>240</v>
      </c>
    </row>
    <row r="261" spans="1:7" s="72" customFormat="1" ht="12.75">
      <c r="A261" s="370" t="s">
        <v>1658</v>
      </c>
      <c r="B261" s="371">
        <v>200</v>
      </c>
      <c r="C261" s="369" t="s">
        <v>812</v>
      </c>
      <c r="D261" s="385">
        <v>9828300</v>
      </c>
      <c r="E261" s="380">
        <v>9816635.6</v>
      </c>
      <c r="F261" s="386">
        <v>11664.4</v>
      </c>
      <c r="G261" s="71" t="str">
        <f t="shared" si="4"/>
        <v>244</v>
      </c>
    </row>
    <row r="262" spans="1:7" s="72" customFormat="1" ht="33.75">
      <c r="A262" s="373" t="s">
        <v>621</v>
      </c>
      <c r="B262" s="374">
        <v>200</v>
      </c>
      <c r="C262" s="372" t="s">
        <v>813</v>
      </c>
      <c r="D262" s="382">
        <v>2261300</v>
      </c>
      <c r="E262" s="383">
        <v>2204182.48</v>
      </c>
      <c r="F262" s="384">
        <v>57117.52</v>
      </c>
      <c r="G262" s="71" t="str">
        <f t="shared" si="4"/>
        <v>000</v>
      </c>
    </row>
    <row r="263" spans="1:7" s="72" customFormat="1" ht="22.5">
      <c r="A263" s="373" t="s">
        <v>411</v>
      </c>
      <c r="B263" s="374">
        <v>200</v>
      </c>
      <c r="C263" s="372" t="s">
        <v>814</v>
      </c>
      <c r="D263" s="382">
        <v>2261300</v>
      </c>
      <c r="E263" s="383">
        <v>2204182.48</v>
      </c>
      <c r="F263" s="384">
        <v>57117.52</v>
      </c>
      <c r="G263" s="71" t="str">
        <f t="shared" si="4"/>
        <v>200</v>
      </c>
    </row>
    <row r="264" spans="1:7" s="72" customFormat="1" ht="22.5">
      <c r="A264" s="373" t="s">
        <v>38</v>
      </c>
      <c r="B264" s="374">
        <v>200</v>
      </c>
      <c r="C264" s="372" t="s">
        <v>815</v>
      </c>
      <c r="D264" s="382">
        <v>2261300</v>
      </c>
      <c r="E264" s="383">
        <v>2204182.48</v>
      </c>
      <c r="F264" s="384">
        <v>57117.52</v>
      </c>
      <c r="G264" s="71" t="str">
        <f t="shared" si="4"/>
        <v>240</v>
      </c>
    </row>
    <row r="265" spans="1:7" s="72" customFormat="1" ht="12.75">
      <c r="A265" s="370" t="s">
        <v>1658</v>
      </c>
      <c r="B265" s="371">
        <v>200</v>
      </c>
      <c r="C265" s="369" t="s">
        <v>72</v>
      </c>
      <c r="D265" s="385">
        <v>2261300</v>
      </c>
      <c r="E265" s="380">
        <v>2204182.48</v>
      </c>
      <c r="F265" s="386">
        <v>57117.52</v>
      </c>
      <c r="G265" s="71" t="str">
        <f t="shared" si="4"/>
        <v>244</v>
      </c>
    </row>
    <row r="266" spans="1:7" s="72" customFormat="1" ht="45">
      <c r="A266" s="373" t="s">
        <v>1696</v>
      </c>
      <c r="B266" s="374">
        <v>200</v>
      </c>
      <c r="C266" s="372" t="s">
        <v>468</v>
      </c>
      <c r="D266" s="382">
        <v>5502600</v>
      </c>
      <c r="E266" s="383">
        <v>5502594</v>
      </c>
      <c r="F266" s="384">
        <v>6</v>
      </c>
      <c r="G266" s="71" t="str">
        <f t="shared" si="4"/>
        <v>000</v>
      </c>
    </row>
    <row r="267" spans="1:7" s="72" customFormat="1" ht="22.5">
      <c r="A267" s="373" t="s">
        <v>411</v>
      </c>
      <c r="B267" s="374">
        <v>200</v>
      </c>
      <c r="C267" s="372" t="s">
        <v>469</v>
      </c>
      <c r="D267" s="382">
        <v>5502600</v>
      </c>
      <c r="E267" s="383">
        <v>5502594</v>
      </c>
      <c r="F267" s="384">
        <v>6</v>
      </c>
      <c r="G267" s="71" t="str">
        <f t="shared" si="4"/>
        <v>200</v>
      </c>
    </row>
    <row r="268" spans="1:7" s="70" customFormat="1" ht="22.5">
      <c r="A268" s="373" t="s">
        <v>38</v>
      </c>
      <c r="B268" s="374">
        <v>200</v>
      </c>
      <c r="C268" s="372" t="s">
        <v>470</v>
      </c>
      <c r="D268" s="382">
        <v>5502600</v>
      </c>
      <c r="E268" s="383">
        <v>5502594</v>
      </c>
      <c r="F268" s="384">
        <v>6</v>
      </c>
      <c r="G268" s="71" t="str">
        <f t="shared" si="4"/>
        <v>240</v>
      </c>
    </row>
    <row r="269" spans="1:7" s="72" customFormat="1" ht="12.75">
      <c r="A269" s="370" t="s">
        <v>1658</v>
      </c>
      <c r="B269" s="371">
        <v>200</v>
      </c>
      <c r="C269" s="369" t="s">
        <v>471</v>
      </c>
      <c r="D269" s="385">
        <v>5502600</v>
      </c>
      <c r="E269" s="380">
        <v>5502594</v>
      </c>
      <c r="F269" s="386">
        <v>6</v>
      </c>
      <c r="G269" s="71" t="str">
        <f t="shared" si="4"/>
        <v>244</v>
      </c>
    </row>
    <row r="270" spans="1:7" s="72" customFormat="1" ht="90">
      <c r="A270" s="377" t="s">
        <v>1697</v>
      </c>
      <c r="B270" s="374">
        <v>200</v>
      </c>
      <c r="C270" s="372" t="s">
        <v>73</v>
      </c>
      <c r="D270" s="382">
        <v>54000</v>
      </c>
      <c r="E270" s="383">
        <v>53514.16</v>
      </c>
      <c r="F270" s="384">
        <v>485.84</v>
      </c>
      <c r="G270" s="71" t="str">
        <f t="shared" si="4"/>
        <v>000</v>
      </c>
    </row>
    <row r="271" spans="1:7" s="72" customFormat="1" ht="12.75">
      <c r="A271" s="373" t="s">
        <v>39</v>
      </c>
      <c r="B271" s="374">
        <v>200</v>
      </c>
      <c r="C271" s="372" t="s">
        <v>74</v>
      </c>
      <c r="D271" s="382">
        <v>54000</v>
      </c>
      <c r="E271" s="383">
        <v>53514.16</v>
      </c>
      <c r="F271" s="384">
        <v>485.84</v>
      </c>
      <c r="G271" s="71" t="str">
        <f t="shared" si="4"/>
        <v>800</v>
      </c>
    </row>
    <row r="272" spans="1:7" s="72" customFormat="1" ht="33.75">
      <c r="A272" s="373" t="s">
        <v>1046</v>
      </c>
      <c r="B272" s="374">
        <v>200</v>
      </c>
      <c r="C272" s="372" t="s">
        <v>75</v>
      </c>
      <c r="D272" s="382">
        <v>54000</v>
      </c>
      <c r="E272" s="383">
        <v>53514.16</v>
      </c>
      <c r="F272" s="384">
        <v>485.84</v>
      </c>
      <c r="G272" s="71" t="str">
        <f t="shared" si="4"/>
        <v>810</v>
      </c>
    </row>
    <row r="273" spans="1:7" s="72" customFormat="1" ht="33.75">
      <c r="A273" s="370" t="s">
        <v>2093</v>
      </c>
      <c r="B273" s="371">
        <v>200</v>
      </c>
      <c r="C273" s="369" t="s">
        <v>2174</v>
      </c>
      <c r="D273" s="385">
        <v>54000</v>
      </c>
      <c r="E273" s="380">
        <v>53514.16</v>
      </c>
      <c r="F273" s="386">
        <v>485.84</v>
      </c>
      <c r="G273" s="71" t="str">
        <f t="shared" si="4"/>
        <v>811</v>
      </c>
    </row>
    <row r="274" spans="1:7" s="72" customFormat="1" ht="168.75">
      <c r="A274" s="377" t="s">
        <v>1698</v>
      </c>
      <c r="B274" s="374">
        <v>200</v>
      </c>
      <c r="C274" s="372" t="s">
        <v>76</v>
      </c>
      <c r="D274" s="382">
        <v>3172200</v>
      </c>
      <c r="E274" s="383">
        <v>3172200</v>
      </c>
      <c r="F274" s="384">
        <v>0</v>
      </c>
      <c r="G274" s="71" t="str">
        <f t="shared" si="4"/>
        <v>000</v>
      </c>
    </row>
    <row r="275" spans="1:7" s="72" customFormat="1" ht="22.5">
      <c r="A275" s="373" t="s">
        <v>411</v>
      </c>
      <c r="B275" s="374">
        <v>200</v>
      </c>
      <c r="C275" s="372" t="s">
        <v>77</v>
      </c>
      <c r="D275" s="382">
        <v>3172200</v>
      </c>
      <c r="E275" s="383">
        <v>3172200</v>
      </c>
      <c r="F275" s="384">
        <v>0</v>
      </c>
      <c r="G275" s="71" t="str">
        <f t="shared" si="4"/>
        <v>200</v>
      </c>
    </row>
    <row r="276" spans="1:7" s="72" customFormat="1" ht="22.5">
      <c r="A276" s="373" t="s">
        <v>38</v>
      </c>
      <c r="B276" s="374">
        <v>200</v>
      </c>
      <c r="C276" s="372" t="s">
        <v>78</v>
      </c>
      <c r="D276" s="382">
        <v>3172200</v>
      </c>
      <c r="E276" s="383">
        <v>3172200</v>
      </c>
      <c r="F276" s="384">
        <v>0</v>
      </c>
      <c r="G276" s="71" t="str">
        <f t="shared" si="4"/>
        <v>240</v>
      </c>
    </row>
    <row r="277" spans="1:7" s="72" customFormat="1" ht="12.75">
      <c r="A277" s="370" t="s">
        <v>1658</v>
      </c>
      <c r="B277" s="371">
        <v>200</v>
      </c>
      <c r="C277" s="369" t="s">
        <v>79</v>
      </c>
      <c r="D277" s="385">
        <v>3172200</v>
      </c>
      <c r="E277" s="380">
        <v>3172200</v>
      </c>
      <c r="F277" s="386">
        <v>0</v>
      </c>
      <c r="G277" s="71" t="str">
        <f t="shared" si="4"/>
        <v>244</v>
      </c>
    </row>
    <row r="278" spans="1:7" s="72" customFormat="1" ht="67.5">
      <c r="A278" s="377" t="s">
        <v>1699</v>
      </c>
      <c r="B278" s="374">
        <v>200</v>
      </c>
      <c r="C278" s="372" t="s">
        <v>1414</v>
      </c>
      <c r="D278" s="382">
        <v>3900000</v>
      </c>
      <c r="E278" s="383">
        <v>3900000</v>
      </c>
      <c r="F278" s="384">
        <v>0</v>
      </c>
      <c r="G278" s="71" t="str">
        <f t="shared" si="4"/>
        <v>000</v>
      </c>
    </row>
    <row r="279" spans="1:7" s="70" customFormat="1" ht="22.5">
      <c r="A279" s="373" t="s">
        <v>411</v>
      </c>
      <c r="B279" s="374">
        <v>200</v>
      </c>
      <c r="C279" s="372" t="s">
        <v>1415</v>
      </c>
      <c r="D279" s="382">
        <v>3900000</v>
      </c>
      <c r="E279" s="383">
        <v>3900000</v>
      </c>
      <c r="F279" s="384">
        <v>0</v>
      </c>
      <c r="G279" s="71" t="str">
        <f t="shared" si="4"/>
        <v>200</v>
      </c>
    </row>
    <row r="280" spans="1:7" s="72" customFormat="1" ht="22.5">
      <c r="A280" s="373" t="s">
        <v>38</v>
      </c>
      <c r="B280" s="374">
        <v>200</v>
      </c>
      <c r="C280" s="372" t="s">
        <v>1416</v>
      </c>
      <c r="D280" s="382">
        <v>3900000</v>
      </c>
      <c r="E280" s="383">
        <v>3900000</v>
      </c>
      <c r="F280" s="384">
        <v>0</v>
      </c>
      <c r="G280" s="71" t="str">
        <f t="shared" si="4"/>
        <v>240</v>
      </c>
    </row>
    <row r="281" spans="1:7" s="72" customFormat="1" ht="12.75">
      <c r="A281" s="370" t="s">
        <v>1658</v>
      </c>
      <c r="B281" s="371">
        <v>200</v>
      </c>
      <c r="C281" s="369" t="s">
        <v>1417</v>
      </c>
      <c r="D281" s="385">
        <v>3900000</v>
      </c>
      <c r="E281" s="380">
        <v>3900000</v>
      </c>
      <c r="F281" s="386">
        <v>0</v>
      </c>
      <c r="G281" s="71" t="str">
        <f t="shared" si="4"/>
        <v>244</v>
      </c>
    </row>
    <row r="282" spans="1:7" s="72" customFormat="1" ht="67.5">
      <c r="A282" s="377" t="s">
        <v>1700</v>
      </c>
      <c r="B282" s="374">
        <v>200</v>
      </c>
      <c r="C282" s="372" t="s">
        <v>1701</v>
      </c>
      <c r="D282" s="382">
        <v>5955700</v>
      </c>
      <c r="E282" s="383">
        <v>5955700</v>
      </c>
      <c r="F282" s="384">
        <v>0</v>
      </c>
      <c r="G282" s="71" t="str">
        <f t="shared" si="4"/>
        <v>000</v>
      </c>
    </row>
    <row r="283" spans="1:7" s="70" customFormat="1" ht="22.5">
      <c r="A283" s="373" t="s">
        <v>411</v>
      </c>
      <c r="B283" s="374">
        <v>200</v>
      </c>
      <c r="C283" s="372" t="s">
        <v>1702</v>
      </c>
      <c r="D283" s="382">
        <v>5955700</v>
      </c>
      <c r="E283" s="383">
        <v>5955700</v>
      </c>
      <c r="F283" s="384">
        <v>0</v>
      </c>
      <c r="G283" s="71" t="str">
        <f t="shared" si="4"/>
        <v>200</v>
      </c>
    </row>
    <row r="284" spans="1:7" s="70" customFormat="1" ht="22.5">
      <c r="A284" s="373" t="s">
        <v>38</v>
      </c>
      <c r="B284" s="374">
        <v>200</v>
      </c>
      <c r="C284" s="372" t="s">
        <v>1703</v>
      </c>
      <c r="D284" s="382">
        <v>5955700</v>
      </c>
      <c r="E284" s="383">
        <v>5955700</v>
      </c>
      <c r="F284" s="384">
        <v>0</v>
      </c>
      <c r="G284" s="71" t="str">
        <f aca="true" t="shared" si="5" ref="G284:G340">RIGHT(C284,3)</f>
        <v>240</v>
      </c>
    </row>
    <row r="285" spans="1:7" s="70" customFormat="1" ht="12.75">
      <c r="A285" s="370" t="s">
        <v>1658</v>
      </c>
      <c r="B285" s="371">
        <v>200</v>
      </c>
      <c r="C285" s="369" t="s">
        <v>1704</v>
      </c>
      <c r="D285" s="385">
        <v>5955700</v>
      </c>
      <c r="E285" s="380">
        <v>5955700</v>
      </c>
      <c r="F285" s="386">
        <v>0</v>
      </c>
      <c r="G285" s="71" t="str">
        <f t="shared" si="5"/>
        <v>244</v>
      </c>
    </row>
    <row r="286" spans="1:7" s="70" customFormat="1" ht="12.75">
      <c r="A286" s="373" t="s">
        <v>243</v>
      </c>
      <c r="B286" s="374">
        <v>200</v>
      </c>
      <c r="C286" s="372" t="s">
        <v>2375</v>
      </c>
      <c r="D286" s="382">
        <v>3500000</v>
      </c>
      <c r="E286" s="383">
        <v>3118216.04</v>
      </c>
      <c r="F286" s="384">
        <v>381783.96</v>
      </c>
      <c r="G286" s="71" t="str">
        <f t="shared" si="5"/>
        <v>000</v>
      </c>
    </row>
    <row r="287" spans="1:7" s="70" customFormat="1" ht="12.75">
      <c r="A287" s="373" t="s">
        <v>1154</v>
      </c>
      <c r="B287" s="374">
        <v>200</v>
      </c>
      <c r="C287" s="372" t="s">
        <v>2376</v>
      </c>
      <c r="D287" s="382">
        <v>3500000</v>
      </c>
      <c r="E287" s="383">
        <v>3118216.04</v>
      </c>
      <c r="F287" s="384">
        <v>381783.96</v>
      </c>
      <c r="G287" s="71" t="str">
        <f t="shared" si="5"/>
        <v>000</v>
      </c>
    </row>
    <row r="288" spans="1:7" s="70" customFormat="1" ht="22.5">
      <c r="A288" s="373" t="s">
        <v>411</v>
      </c>
      <c r="B288" s="374">
        <v>200</v>
      </c>
      <c r="C288" s="372" t="s">
        <v>2377</v>
      </c>
      <c r="D288" s="382">
        <v>3500000</v>
      </c>
      <c r="E288" s="383">
        <v>3118216.04</v>
      </c>
      <c r="F288" s="384">
        <v>381783.96</v>
      </c>
      <c r="G288" s="71" t="str">
        <f t="shared" si="5"/>
        <v>200</v>
      </c>
    </row>
    <row r="289" spans="1:7" s="72" customFormat="1" ht="22.5">
      <c r="A289" s="373" t="s">
        <v>38</v>
      </c>
      <c r="B289" s="374">
        <v>200</v>
      </c>
      <c r="C289" s="372" t="s">
        <v>2378</v>
      </c>
      <c r="D289" s="382">
        <v>3500000</v>
      </c>
      <c r="E289" s="383">
        <v>3118216.04</v>
      </c>
      <c r="F289" s="384">
        <v>381783.96</v>
      </c>
      <c r="G289" s="71" t="str">
        <f t="shared" si="5"/>
        <v>240</v>
      </c>
    </row>
    <row r="290" spans="1:7" s="72" customFormat="1" ht="12.75">
      <c r="A290" s="370" t="s">
        <v>1658</v>
      </c>
      <c r="B290" s="371">
        <v>200</v>
      </c>
      <c r="C290" s="369" t="s">
        <v>2379</v>
      </c>
      <c r="D290" s="385">
        <v>3500000</v>
      </c>
      <c r="E290" s="380">
        <v>3118216.04</v>
      </c>
      <c r="F290" s="386">
        <v>381783.96</v>
      </c>
      <c r="G290" s="71" t="str">
        <f t="shared" si="5"/>
        <v>244</v>
      </c>
    </row>
    <row r="291" spans="1:7" s="72" customFormat="1" ht="12.75">
      <c r="A291" s="373" t="s">
        <v>656</v>
      </c>
      <c r="B291" s="374">
        <v>200</v>
      </c>
      <c r="C291" s="372" t="s">
        <v>80</v>
      </c>
      <c r="D291" s="382">
        <v>5794400</v>
      </c>
      <c r="E291" s="383">
        <v>5794400</v>
      </c>
      <c r="F291" s="384">
        <v>0</v>
      </c>
      <c r="G291" s="71" t="str">
        <f t="shared" si="5"/>
        <v>000</v>
      </c>
    </row>
    <row r="292" spans="1:7" s="70" customFormat="1" ht="12.75">
      <c r="A292" s="373" t="s">
        <v>260</v>
      </c>
      <c r="B292" s="374">
        <v>200</v>
      </c>
      <c r="C292" s="372" t="s">
        <v>81</v>
      </c>
      <c r="D292" s="382">
        <v>5794400</v>
      </c>
      <c r="E292" s="383">
        <v>5794400</v>
      </c>
      <c r="F292" s="384">
        <v>0</v>
      </c>
      <c r="G292" s="71" t="str">
        <f t="shared" si="5"/>
        <v>000</v>
      </c>
    </row>
    <row r="293" spans="1:7" s="72" customFormat="1" ht="12.75">
      <c r="A293" s="373" t="s">
        <v>243</v>
      </c>
      <c r="B293" s="374">
        <v>200</v>
      </c>
      <c r="C293" s="372" t="s">
        <v>82</v>
      </c>
      <c r="D293" s="382">
        <v>5794400</v>
      </c>
      <c r="E293" s="383">
        <v>5794400</v>
      </c>
      <c r="F293" s="384">
        <v>0</v>
      </c>
      <c r="G293" s="71" t="str">
        <f t="shared" si="5"/>
        <v>000</v>
      </c>
    </row>
    <row r="294" spans="1:7" s="72" customFormat="1" ht="33.75">
      <c r="A294" s="373" t="s">
        <v>1350</v>
      </c>
      <c r="B294" s="374">
        <v>200</v>
      </c>
      <c r="C294" s="372" t="s">
        <v>83</v>
      </c>
      <c r="D294" s="382">
        <v>5794400</v>
      </c>
      <c r="E294" s="383">
        <v>5794400</v>
      </c>
      <c r="F294" s="384">
        <v>0</v>
      </c>
      <c r="G294" s="71" t="str">
        <f t="shared" si="5"/>
        <v>000</v>
      </c>
    </row>
    <row r="295" spans="1:7" s="72" customFormat="1" ht="33.75">
      <c r="A295" s="373" t="s">
        <v>36</v>
      </c>
      <c r="B295" s="374">
        <v>200</v>
      </c>
      <c r="C295" s="372" t="s">
        <v>84</v>
      </c>
      <c r="D295" s="382">
        <v>5670156.57</v>
      </c>
      <c r="E295" s="383">
        <v>5670156.57</v>
      </c>
      <c r="F295" s="384">
        <v>0</v>
      </c>
      <c r="G295" s="71" t="str">
        <f t="shared" si="5"/>
        <v>100</v>
      </c>
    </row>
    <row r="296" spans="1:7" s="70" customFormat="1" ht="12.75">
      <c r="A296" s="373" t="s">
        <v>37</v>
      </c>
      <c r="B296" s="374">
        <v>200</v>
      </c>
      <c r="C296" s="372" t="s">
        <v>85</v>
      </c>
      <c r="D296" s="382">
        <v>5670156.57</v>
      </c>
      <c r="E296" s="383">
        <v>5670156.57</v>
      </c>
      <c r="F296" s="384">
        <v>0</v>
      </c>
      <c r="G296" s="71" t="str">
        <f t="shared" si="5"/>
        <v>120</v>
      </c>
    </row>
    <row r="297" spans="1:7" s="70" customFormat="1" ht="12.75">
      <c r="A297" s="370" t="s">
        <v>1317</v>
      </c>
      <c r="B297" s="371">
        <v>200</v>
      </c>
      <c r="C297" s="369" t="s">
        <v>86</v>
      </c>
      <c r="D297" s="385">
        <v>4177075.3</v>
      </c>
      <c r="E297" s="380">
        <v>4177075.3</v>
      </c>
      <c r="F297" s="386">
        <v>0</v>
      </c>
      <c r="G297" s="71" t="str">
        <f t="shared" si="5"/>
        <v>121</v>
      </c>
    </row>
    <row r="298" spans="1:7" s="70" customFormat="1" ht="22.5">
      <c r="A298" s="370" t="s">
        <v>244</v>
      </c>
      <c r="B298" s="371">
        <v>200</v>
      </c>
      <c r="C298" s="369" t="s">
        <v>87</v>
      </c>
      <c r="D298" s="385">
        <v>316676.64</v>
      </c>
      <c r="E298" s="380">
        <v>316676.64</v>
      </c>
      <c r="F298" s="386">
        <v>0</v>
      </c>
      <c r="G298" s="71" t="str">
        <f t="shared" si="5"/>
        <v>122</v>
      </c>
    </row>
    <row r="299" spans="1:7" s="72" customFormat="1" ht="33.75">
      <c r="A299" s="370" t="s">
        <v>1318</v>
      </c>
      <c r="B299" s="371">
        <v>200</v>
      </c>
      <c r="C299" s="369" t="s">
        <v>88</v>
      </c>
      <c r="D299" s="385">
        <v>1176404.63</v>
      </c>
      <c r="E299" s="380">
        <v>1176404.63</v>
      </c>
      <c r="F299" s="386">
        <v>0</v>
      </c>
      <c r="G299" s="71" t="str">
        <f t="shared" si="5"/>
        <v>129</v>
      </c>
    </row>
    <row r="300" spans="1:7" s="70" customFormat="1" ht="22.5">
      <c r="A300" s="373" t="s">
        <v>411</v>
      </c>
      <c r="B300" s="374">
        <v>200</v>
      </c>
      <c r="C300" s="372" t="s">
        <v>89</v>
      </c>
      <c r="D300" s="382">
        <v>124243.43</v>
      </c>
      <c r="E300" s="383">
        <v>124243.43</v>
      </c>
      <c r="F300" s="384">
        <v>0</v>
      </c>
      <c r="G300" s="71" t="str">
        <f t="shared" si="5"/>
        <v>200</v>
      </c>
    </row>
    <row r="301" spans="1:7" s="72" customFormat="1" ht="22.5">
      <c r="A301" s="373" t="s">
        <v>38</v>
      </c>
      <c r="B301" s="374">
        <v>200</v>
      </c>
      <c r="C301" s="372" t="s">
        <v>90</v>
      </c>
      <c r="D301" s="382">
        <v>124243.43</v>
      </c>
      <c r="E301" s="383">
        <v>124243.43</v>
      </c>
      <c r="F301" s="384">
        <v>0</v>
      </c>
      <c r="G301" s="71" t="str">
        <f t="shared" si="5"/>
        <v>240</v>
      </c>
    </row>
    <row r="302" spans="1:7" s="72" customFormat="1" ht="12.75">
      <c r="A302" s="370" t="s">
        <v>1658</v>
      </c>
      <c r="B302" s="371">
        <v>200</v>
      </c>
      <c r="C302" s="369" t="s">
        <v>91</v>
      </c>
      <c r="D302" s="385">
        <v>124243.43</v>
      </c>
      <c r="E302" s="380">
        <v>124243.43</v>
      </c>
      <c r="F302" s="386">
        <v>0</v>
      </c>
      <c r="G302" s="71" t="str">
        <f t="shared" si="5"/>
        <v>244</v>
      </c>
    </row>
    <row r="303" spans="1:7" s="72" customFormat="1" ht="12.75">
      <c r="A303" s="373" t="s">
        <v>1373</v>
      </c>
      <c r="B303" s="374">
        <v>200</v>
      </c>
      <c r="C303" s="372" t="s">
        <v>92</v>
      </c>
      <c r="D303" s="382">
        <v>127100611.63</v>
      </c>
      <c r="E303" s="383">
        <v>124107319.48</v>
      </c>
      <c r="F303" s="384">
        <v>2993292.15</v>
      </c>
      <c r="G303" s="71" t="str">
        <f t="shared" si="5"/>
        <v>000</v>
      </c>
    </row>
    <row r="304" spans="1:7" s="70" customFormat="1" ht="12.75">
      <c r="A304" s="373" t="s">
        <v>472</v>
      </c>
      <c r="B304" s="374">
        <v>200</v>
      </c>
      <c r="C304" s="372" t="s">
        <v>473</v>
      </c>
      <c r="D304" s="382">
        <v>109031526.51</v>
      </c>
      <c r="E304" s="383">
        <v>106750275.39</v>
      </c>
      <c r="F304" s="384">
        <v>2281251.12</v>
      </c>
      <c r="G304" s="71" t="str">
        <f t="shared" si="5"/>
        <v>000</v>
      </c>
    </row>
    <row r="305" spans="1:7" s="72" customFormat="1" ht="22.5">
      <c r="A305" s="373" t="s">
        <v>415</v>
      </c>
      <c r="B305" s="374">
        <v>200</v>
      </c>
      <c r="C305" s="372" t="s">
        <v>474</v>
      </c>
      <c r="D305" s="382">
        <v>102563434.51</v>
      </c>
      <c r="E305" s="383">
        <v>100282183.39</v>
      </c>
      <c r="F305" s="384">
        <v>2281251.12</v>
      </c>
      <c r="G305" s="71" t="str">
        <f t="shared" si="5"/>
        <v>000</v>
      </c>
    </row>
    <row r="306" spans="1:7" s="72" customFormat="1" ht="56.25">
      <c r="A306" s="377" t="s">
        <v>1598</v>
      </c>
      <c r="B306" s="374">
        <v>200</v>
      </c>
      <c r="C306" s="372" t="s">
        <v>475</v>
      </c>
      <c r="D306" s="382">
        <v>102563434.51</v>
      </c>
      <c r="E306" s="383">
        <v>100282183.39</v>
      </c>
      <c r="F306" s="384">
        <v>2281251.12</v>
      </c>
      <c r="G306" s="71" t="str">
        <f t="shared" si="5"/>
        <v>000</v>
      </c>
    </row>
    <row r="307" spans="1:7" s="72" customFormat="1" ht="12.75">
      <c r="A307" s="373" t="s">
        <v>42</v>
      </c>
      <c r="B307" s="374">
        <v>200</v>
      </c>
      <c r="C307" s="372" t="s">
        <v>476</v>
      </c>
      <c r="D307" s="382">
        <v>102563434.51</v>
      </c>
      <c r="E307" s="383">
        <v>100282183.39</v>
      </c>
      <c r="F307" s="384">
        <v>2281251.12</v>
      </c>
      <c r="G307" s="71" t="str">
        <f t="shared" si="5"/>
        <v>500</v>
      </c>
    </row>
    <row r="308" spans="1:7" s="70" customFormat="1" ht="12.75">
      <c r="A308" s="370" t="s">
        <v>512</v>
      </c>
      <c r="B308" s="371">
        <v>200</v>
      </c>
      <c r="C308" s="369" t="s">
        <v>477</v>
      </c>
      <c r="D308" s="385">
        <v>102563434.51</v>
      </c>
      <c r="E308" s="380">
        <v>100282183.39</v>
      </c>
      <c r="F308" s="386">
        <v>2281251.12</v>
      </c>
      <c r="G308" s="71" t="str">
        <f t="shared" si="5"/>
        <v>540</v>
      </c>
    </row>
    <row r="309" spans="1:7" s="70" customFormat="1" ht="12.75">
      <c r="A309" s="373" t="s">
        <v>243</v>
      </c>
      <c r="B309" s="374">
        <v>200</v>
      </c>
      <c r="C309" s="372" t="s">
        <v>1838</v>
      </c>
      <c r="D309" s="382">
        <v>6468092</v>
      </c>
      <c r="E309" s="383">
        <v>6468092</v>
      </c>
      <c r="F309" s="384">
        <v>0</v>
      </c>
      <c r="G309" s="71" t="str">
        <f t="shared" si="5"/>
        <v>000</v>
      </c>
    </row>
    <row r="310" spans="1:7" s="72" customFormat="1" ht="45">
      <c r="A310" s="373" t="s">
        <v>2175</v>
      </c>
      <c r="B310" s="374">
        <v>200</v>
      </c>
      <c r="C310" s="372" t="s">
        <v>2176</v>
      </c>
      <c r="D310" s="382">
        <v>607382</v>
      </c>
      <c r="E310" s="383">
        <v>607382</v>
      </c>
      <c r="F310" s="384">
        <v>0</v>
      </c>
      <c r="G310" s="71" t="str">
        <f t="shared" si="5"/>
        <v>000</v>
      </c>
    </row>
    <row r="311" spans="1:7" s="72" customFormat="1" ht="12.75">
      <c r="A311" s="373" t="s">
        <v>42</v>
      </c>
      <c r="B311" s="374">
        <v>200</v>
      </c>
      <c r="C311" s="372" t="s">
        <v>2177</v>
      </c>
      <c r="D311" s="382">
        <v>607382</v>
      </c>
      <c r="E311" s="383">
        <v>607382</v>
      </c>
      <c r="F311" s="384">
        <v>0</v>
      </c>
      <c r="G311" s="71" t="str">
        <f t="shared" si="5"/>
        <v>500</v>
      </c>
    </row>
    <row r="312" spans="1:7" s="70" customFormat="1" ht="12.75">
      <c r="A312" s="370" t="s">
        <v>512</v>
      </c>
      <c r="B312" s="371">
        <v>200</v>
      </c>
      <c r="C312" s="369" t="s">
        <v>2178</v>
      </c>
      <c r="D312" s="385">
        <v>607382</v>
      </c>
      <c r="E312" s="380">
        <v>607382</v>
      </c>
      <c r="F312" s="386">
        <v>0</v>
      </c>
      <c r="G312" s="71" t="str">
        <f t="shared" si="5"/>
        <v>540</v>
      </c>
    </row>
    <row r="313" spans="1:7" s="72" customFormat="1" ht="67.5">
      <c r="A313" s="377" t="s">
        <v>1839</v>
      </c>
      <c r="B313" s="374">
        <v>200</v>
      </c>
      <c r="C313" s="372" t="s">
        <v>1840</v>
      </c>
      <c r="D313" s="382">
        <v>5860710</v>
      </c>
      <c r="E313" s="383">
        <v>5860710</v>
      </c>
      <c r="F313" s="384">
        <v>0</v>
      </c>
      <c r="G313" s="71" t="str">
        <f t="shared" si="5"/>
        <v>000</v>
      </c>
    </row>
    <row r="314" spans="1:7" s="70" customFormat="1" ht="12.75">
      <c r="A314" s="373" t="s">
        <v>42</v>
      </c>
      <c r="B314" s="374">
        <v>200</v>
      </c>
      <c r="C314" s="372" t="s">
        <v>1841</v>
      </c>
      <c r="D314" s="382">
        <v>5860710</v>
      </c>
      <c r="E314" s="383">
        <v>5860710</v>
      </c>
      <c r="F314" s="384">
        <v>0</v>
      </c>
      <c r="G314" s="71" t="str">
        <f t="shared" si="5"/>
        <v>500</v>
      </c>
    </row>
    <row r="315" spans="1:7" s="72" customFormat="1" ht="12.75">
      <c r="A315" s="370" t="s">
        <v>512</v>
      </c>
      <c r="B315" s="371">
        <v>200</v>
      </c>
      <c r="C315" s="369" t="s">
        <v>1842</v>
      </c>
      <c r="D315" s="385">
        <v>5860710</v>
      </c>
      <c r="E315" s="380">
        <v>5860710</v>
      </c>
      <c r="F315" s="386">
        <v>0</v>
      </c>
      <c r="G315" s="71" t="str">
        <f t="shared" si="5"/>
        <v>540</v>
      </c>
    </row>
    <row r="316" spans="1:7" s="72" customFormat="1" ht="12.75">
      <c r="A316" s="373" t="s">
        <v>478</v>
      </c>
      <c r="B316" s="374">
        <v>200</v>
      </c>
      <c r="C316" s="372" t="s">
        <v>1193</v>
      </c>
      <c r="D316" s="382">
        <v>18069085.12</v>
      </c>
      <c r="E316" s="383">
        <v>17357044.09</v>
      </c>
      <c r="F316" s="384">
        <v>712041.03</v>
      </c>
      <c r="G316" s="71" t="str">
        <f t="shared" si="5"/>
        <v>000</v>
      </c>
    </row>
    <row r="317" spans="1:7" s="70" customFormat="1" ht="22.5">
      <c r="A317" s="373" t="s">
        <v>837</v>
      </c>
      <c r="B317" s="374">
        <v>200</v>
      </c>
      <c r="C317" s="372" t="s">
        <v>1194</v>
      </c>
      <c r="D317" s="382">
        <v>16547499.12</v>
      </c>
      <c r="E317" s="383">
        <v>15843331.27</v>
      </c>
      <c r="F317" s="384">
        <v>704167.85</v>
      </c>
      <c r="G317" s="71" t="str">
        <f t="shared" si="5"/>
        <v>000</v>
      </c>
    </row>
    <row r="318" spans="1:7" s="72" customFormat="1" ht="33.75">
      <c r="A318" s="373" t="s">
        <v>1351</v>
      </c>
      <c r="B318" s="374">
        <v>200</v>
      </c>
      <c r="C318" s="372" t="s">
        <v>1195</v>
      </c>
      <c r="D318" s="382">
        <v>14390839.12</v>
      </c>
      <c r="E318" s="383">
        <v>13720041.28</v>
      </c>
      <c r="F318" s="384">
        <v>670797.84</v>
      </c>
      <c r="G318" s="71" t="str">
        <f t="shared" si="5"/>
        <v>000</v>
      </c>
    </row>
    <row r="319" spans="1:7" s="72" customFormat="1" ht="33.75">
      <c r="A319" s="373" t="s">
        <v>36</v>
      </c>
      <c r="B319" s="374">
        <v>200</v>
      </c>
      <c r="C319" s="372" t="s">
        <v>1196</v>
      </c>
      <c r="D319" s="382">
        <v>10624374.46</v>
      </c>
      <c r="E319" s="383">
        <v>10624282.46</v>
      </c>
      <c r="F319" s="384">
        <v>92</v>
      </c>
      <c r="G319" s="71" t="str">
        <f t="shared" si="5"/>
        <v>100</v>
      </c>
    </row>
    <row r="320" spans="1:7" s="70" customFormat="1" ht="12.75">
      <c r="A320" s="373" t="s">
        <v>41</v>
      </c>
      <c r="B320" s="374">
        <v>200</v>
      </c>
      <c r="C320" s="372" t="s">
        <v>1197</v>
      </c>
      <c r="D320" s="382">
        <v>10624374.46</v>
      </c>
      <c r="E320" s="383">
        <v>10624282.46</v>
      </c>
      <c r="F320" s="384">
        <v>92</v>
      </c>
      <c r="G320" s="71" t="str">
        <f t="shared" si="5"/>
        <v>110</v>
      </c>
    </row>
    <row r="321" spans="1:7" s="72" customFormat="1" ht="12.75">
      <c r="A321" s="370" t="s">
        <v>412</v>
      </c>
      <c r="B321" s="371">
        <v>200</v>
      </c>
      <c r="C321" s="369" t="s">
        <v>1198</v>
      </c>
      <c r="D321" s="385">
        <v>7819769.1</v>
      </c>
      <c r="E321" s="380">
        <v>7819769.1</v>
      </c>
      <c r="F321" s="386">
        <v>0</v>
      </c>
      <c r="G321" s="71" t="str">
        <f t="shared" si="5"/>
        <v>111</v>
      </c>
    </row>
    <row r="322" spans="1:7" s="70" customFormat="1" ht="12.75">
      <c r="A322" s="370" t="s">
        <v>413</v>
      </c>
      <c r="B322" s="371">
        <v>200</v>
      </c>
      <c r="C322" s="369" t="s">
        <v>1199</v>
      </c>
      <c r="D322" s="385">
        <v>430332.64</v>
      </c>
      <c r="E322" s="380">
        <v>430240.64</v>
      </c>
      <c r="F322" s="386">
        <v>92</v>
      </c>
      <c r="G322" s="71" t="str">
        <f t="shared" si="5"/>
        <v>112</v>
      </c>
    </row>
    <row r="323" spans="1:7" s="70" customFormat="1" ht="22.5">
      <c r="A323" s="370" t="s">
        <v>414</v>
      </c>
      <c r="B323" s="371">
        <v>200</v>
      </c>
      <c r="C323" s="369" t="s">
        <v>1200</v>
      </c>
      <c r="D323" s="385">
        <v>2374272.72</v>
      </c>
      <c r="E323" s="380">
        <v>2374272.72</v>
      </c>
      <c r="F323" s="386">
        <v>0</v>
      </c>
      <c r="G323" s="71" t="str">
        <f t="shared" si="5"/>
        <v>119</v>
      </c>
    </row>
    <row r="324" spans="1:7" s="70" customFormat="1" ht="22.5">
      <c r="A324" s="373" t="s">
        <v>411</v>
      </c>
      <c r="B324" s="374">
        <v>200</v>
      </c>
      <c r="C324" s="372" t="s">
        <v>1201</v>
      </c>
      <c r="D324" s="382">
        <v>3764631.09</v>
      </c>
      <c r="E324" s="383">
        <v>3093925.25</v>
      </c>
      <c r="F324" s="384">
        <v>670705.84</v>
      </c>
      <c r="G324" s="71" t="str">
        <f t="shared" si="5"/>
        <v>200</v>
      </c>
    </row>
    <row r="325" spans="1:7" s="70" customFormat="1" ht="22.5">
      <c r="A325" s="373" t="s">
        <v>38</v>
      </c>
      <c r="B325" s="374">
        <v>200</v>
      </c>
      <c r="C325" s="372" t="s">
        <v>1202</v>
      </c>
      <c r="D325" s="382">
        <v>3764631.09</v>
      </c>
      <c r="E325" s="383">
        <v>3093925.25</v>
      </c>
      <c r="F325" s="384">
        <v>670705.84</v>
      </c>
      <c r="G325" s="71" t="str">
        <f t="shared" si="5"/>
        <v>240</v>
      </c>
    </row>
    <row r="326" spans="1:7" s="72" customFormat="1" ht="12.75">
      <c r="A326" s="370" t="s">
        <v>1658</v>
      </c>
      <c r="B326" s="371">
        <v>200</v>
      </c>
      <c r="C326" s="369" t="s">
        <v>1203</v>
      </c>
      <c r="D326" s="385">
        <v>3764631.09</v>
      </c>
      <c r="E326" s="380">
        <v>3093925.25</v>
      </c>
      <c r="F326" s="386">
        <v>670705.84</v>
      </c>
      <c r="G326" s="71" t="str">
        <f t="shared" si="5"/>
        <v>244</v>
      </c>
    </row>
    <row r="327" spans="1:7" s="70" customFormat="1" ht="12.75">
      <c r="A327" s="373" t="s">
        <v>39</v>
      </c>
      <c r="B327" s="374">
        <v>200</v>
      </c>
      <c r="C327" s="372" t="s">
        <v>1204</v>
      </c>
      <c r="D327" s="382">
        <v>1833.57</v>
      </c>
      <c r="E327" s="383">
        <v>1833.57</v>
      </c>
      <c r="F327" s="384">
        <v>0</v>
      </c>
      <c r="G327" s="71" t="str">
        <f t="shared" si="5"/>
        <v>800</v>
      </c>
    </row>
    <row r="328" spans="1:7" s="72" customFormat="1" ht="12.75">
      <c r="A328" s="373" t="s">
        <v>40</v>
      </c>
      <c r="B328" s="374">
        <v>200</v>
      </c>
      <c r="C328" s="372" t="s">
        <v>1205</v>
      </c>
      <c r="D328" s="382">
        <v>1833.57</v>
      </c>
      <c r="E328" s="383">
        <v>1833.57</v>
      </c>
      <c r="F328" s="384">
        <v>0</v>
      </c>
      <c r="G328" s="71" t="str">
        <f t="shared" si="5"/>
        <v>850</v>
      </c>
    </row>
    <row r="329" spans="1:7" s="72" customFormat="1" ht="12.75">
      <c r="A329" s="370" t="s">
        <v>1375</v>
      </c>
      <c r="B329" s="371">
        <v>200</v>
      </c>
      <c r="C329" s="369" t="s">
        <v>2242</v>
      </c>
      <c r="D329" s="385">
        <v>1833.57</v>
      </c>
      <c r="E329" s="380">
        <v>1833.57</v>
      </c>
      <c r="F329" s="386">
        <v>0</v>
      </c>
      <c r="G329" s="71" t="str">
        <f t="shared" si="5"/>
        <v>853</v>
      </c>
    </row>
    <row r="330" spans="1:7" s="72" customFormat="1" ht="12.75">
      <c r="A330" s="373" t="s">
        <v>1230</v>
      </c>
      <c r="B330" s="374">
        <v>200</v>
      </c>
      <c r="C330" s="372" t="s">
        <v>1206</v>
      </c>
      <c r="D330" s="382">
        <v>982642</v>
      </c>
      <c r="E330" s="383">
        <v>982642</v>
      </c>
      <c r="F330" s="384">
        <v>0</v>
      </c>
      <c r="G330" s="71" t="str">
        <f t="shared" si="5"/>
        <v>000</v>
      </c>
    </row>
    <row r="331" spans="1:7" s="72" customFormat="1" ht="22.5">
      <c r="A331" s="373" t="s">
        <v>411</v>
      </c>
      <c r="B331" s="374">
        <v>200</v>
      </c>
      <c r="C331" s="372" t="s">
        <v>1207</v>
      </c>
      <c r="D331" s="382">
        <v>332932</v>
      </c>
      <c r="E331" s="383">
        <v>332932</v>
      </c>
      <c r="F331" s="384">
        <v>0</v>
      </c>
      <c r="G331" s="71" t="str">
        <f t="shared" si="5"/>
        <v>200</v>
      </c>
    </row>
    <row r="332" spans="1:7" s="72" customFormat="1" ht="22.5">
      <c r="A332" s="373" t="s">
        <v>38</v>
      </c>
      <c r="B332" s="374">
        <v>200</v>
      </c>
      <c r="C332" s="372" t="s">
        <v>1208</v>
      </c>
      <c r="D332" s="382">
        <v>332932</v>
      </c>
      <c r="E332" s="383">
        <v>332932</v>
      </c>
      <c r="F332" s="384">
        <v>0</v>
      </c>
      <c r="G332" s="71" t="str">
        <f t="shared" si="5"/>
        <v>240</v>
      </c>
    </row>
    <row r="333" spans="1:7" s="72" customFormat="1" ht="12.75">
      <c r="A333" s="370" t="s">
        <v>1658</v>
      </c>
      <c r="B333" s="371">
        <v>200</v>
      </c>
      <c r="C333" s="369" t="s">
        <v>1209</v>
      </c>
      <c r="D333" s="385">
        <v>332932</v>
      </c>
      <c r="E333" s="380">
        <v>332932</v>
      </c>
      <c r="F333" s="386">
        <v>0</v>
      </c>
      <c r="G333" s="71" t="str">
        <f t="shared" si="5"/>
        <v>244</v>
      </c>
    </row>
    <row r="334" spans="1:7" s="72" customFormat="1" ht="12.75">
      <c r="A334" s="373" t="s">
        <v>43</v>
      </c>
      <c r="B334" s="374">
        <v>200</v>
      </c>
      <c r="C334" s="372" t="s">
        <v>1430</v>
      </c>
      <c r="D334" s="382">
        <v>644970</v>
      </c>
      <c r="E334" s="383">
        <v>644970</v>
      </c>
      <c r="F334" s="384">
        <v>0</v>
      </c>
      <c r="G334" s="71" t="str">
        <f t="shared" si="5"/>
        <v>300</v>
      </c>
    </row>
    <row r="335" spans="1:7" s="70" customFormat="1" ht="12.75">
      <c r="A335" s="370" t="s">
        <v>1427</v>
      </c>
      <c r="B335" s="371">
        <v>200</v>
      </c>
      <c r="C335" s="369" t="s">
        <v>1429</v>
      </c>
      <c r="D335" s="385">
        <v>644970</v>
      </c>
      <c r="E335" s="380">
        <v>644970</v>
      </c>
      <c r="F335" s="386">
        <v>0</v>
      </c>
      <c r="G335" s="71" t="str">
        <f t="shared" si="5"/>
        <v>350</v>
      </c>
    </row>
    <row r="336" spans="1:7" s="70" customFormat="1" ht="12.75">
      <c r="A336" s="373" t="s">
        <v>39</v>
      </c>
      <c r="B336" s="374">
        <v>200</v>
      </c>
      <c r="C336" s="372" t="s">
        <v>2270</v>
      </c>
      <c r="D336" s="382">
        <v>4740</v>
      </c>
      <c r="E336" s="383">
        <v>4740</v>
      </c>
      <c r="F336" s="384">
        <v>0</v>
      </c>
      <c r="G336" s="71" t="str">
        <f t="shared" si="5"/>
        <v>800</v>
      </c>
    </row>
    <row r="337" spans="1:7" s="70" customFormat="1" ht="12.75">
      <c r="A337" s="373" t="s">
        <v>40</v>
      </c>
      <c r="B337" s="374">
        <v>200</v>
      </c>
      <c r="C337" s="372" t="s">
        <v>2271</v>
      </c>
      <c r="D337" s="382">
        <v>4740</v>
      </c>
      <c r="E337" s="383">
        <v>4740</v>
      </c>
      <c r="F337" s="384">
        <v>0</v>
      </c>
      <c r="G337" s="71" t="str">
        <f t="shared" si="5"/>
        <v>850</v>
      </c>
    </row>
    <row r="338" spans="1:7" s="70" customFormat="1" ht="12.75">
      <c r="A338" s="370" t="s">
        <v>1375</v>
      </c>
      <c r="B338" s="371">
        <v>200</v>
      </c>
      <c r="C338" s="369" t="s">
        <v>2272</v>
      </c>
      <c r="D338" s="385">
        <v>4740</v>
      </c>
      <c r="E338" s="380">
        <v>4740</v>
      </c>
      <c r="F338" s="386">
        <v>0</v>
      </c>
      <c r="G338" s="71" t="str">
        <f t="shared" si="5"/>
        <v>853</v>
      </c>
    </row>
    <row r="339" spans="1:7" s="72" customFormat="1" ht="33.75">
      <c r="A339" s="373" t="s">
        <v>1352</v>
      </c>
      <c r="B339" s="374">
        <v>200</v>
      </c>
      <c r="C339" s="372" t="s">
        <v>479</v>
      </c>
      <c r="D339" s="382">
        <v>80458</v>
      </c>
      <c r="E339" s="383">
        <v>80458</v>
      </c>
      <c r="F339" s="384">
        <v>0</v>
      </c>
      <c r="G339" s="71" t="str">
        <f t="shared" si="5"/>
        <v>000</v>
      </c>
    </row>
    <row r="340" spans="1:7" s="72" customFormat="1" ht="12.75">
      <c r="A340" s="373" t="s">
        <v>43</v>
      </c>
      <c r="B340" s="374">
        <v>200</v>
      </c>
      <c r="C340" s="372" t="s">
        <v>1599</v>
      </c>
      <c r="D340" s="382">
        <v>80458</v>
      </c>
      <c r="E340" s="383">
        <v>80458</v>
      </c>
      <c r="F340" s="384">
        <v>0</v>
      </c>
      <c r="G340" s="71" t="str">
        <f t="shared" si="5"/>
        <v>300</v>
      </c>
    </row>
    <row r="341" spans="1:7" s="72" customFormat="1" ht="12.75">
      <c r="A341" s="370" t="s">
        <v>1427</v>
      </c>
      <c r="B341" s="371">
        <v>200</v>
      </c>
      <c r="C341" s="369" t="s">
        <v>1600</v>
      </c>
      <c r="D341" s="385">
        <v>80458</v>
      </c>
      <c r="E341" s="380">
        <v>80458</v>
      </c>
      <c r="F341" s="386">
        <v>0</v>
      </c>
      <c r="G341" s="71" t="str">
        <f aca="true" t="shared" si="6" ref="G341:G403">RIGHT(C341,3)</f>
        <v>350</v>
      </c>
    </row>
    <row r="342" spans="1:7" s="72" customFormat="1" ht="12.75">
      <c r="A342" s="373" t="s">
        <v>647</v>
      </c>
      <c r="B342" s="374">
        <v>200</v>
      </c>
      <c r="C342" s="372" t="s">
        <v>1210</v>
      </c>
      <c r="D342" s="382">
        <v>911300</v>
      </c>
      <c r="E342" s="383">
        <v>877929.99</v>
      </c>
      <c r="F342" s="384">
        <v>33370.01</v>
      </c>
      <c r="G342" s="71" t="str">
        <f t="shared" si="6"/>
        <v>000</v>
      </c>
    </row>
    <row r="343" spans="1:7" s="70" customFormat="1" ht="33.75">
      <c r="A343" s="373" t="s">
        <v>36</v>
      </c>
      <c r="B343" s="374">
        <v>200</v>
      </c>
      <c r="C343" s="372" t="s">
        <v>2102</v>
      </c>
      <c r="D343" s="382">
        <v>33370</v>
      </c>
      <c r="E343" s="383">
        <v>0</v>
      </c>
      <c r="F343" s="384">
        <v>33370</v>
      </c>
      <c r="G343" s="71" t="str">
        <f t="shared" si="6"/>
        <v>100</v>
      </c>
    </row>
    <row r="344" spans="1:7" s="72" customFormat="1" ht="12.75">
      <c r="A344" s="373" t="s">
        <v>41</v>
      </c>
      <c r="B344" s="374">
        <v>200</v>
      </c>
      <c r="C344" s="372" t="s">
        <v>2103</v>
      </c>
      <c r="D344" s="382">
        <v>33370</v>
      </c>
      <c r="E344" s="383">
        <v>0</v>
      </c>
      <c r="F344" s="384">
        <v>33370</v>
      </c>
      <c r="G344" s="71" t="str">
        <f t="shared" si="6"/>
        <v>110</v>
      </c>
    </row>
    <row r="345" spans="1:7" s="70" customFormat="1" ht="12.75">
      <c r="A345" s="370" t="s">
        <v>413</v>
      </c>
      <c r="B345" s="371">
        <v>200</v>
      </c>
      <c r="C345" s="369" t="s">
        <v>2104</v>
      </c>
      <c r="D345" s="385">
        <v>33370</v>
      </c>
      <c r="E345" s="380">
        <v>0</v>
      </c>
      <c r="F345" s="386">
        <v>33370</v>
      </c>
      <c r="G345" s="71" t="str">
        <f t="shared" si="6"/>
        <v>112</v>
      </c>
    </row>
    <row r="346" spans="1:7" s="72" customFormat="1" ht="22.5">
      <c r="A346" s="373" t="s">
        <v>411</v>
      </c>
      <c r="B346" s="374">
        <v>200</v>
      </c>
      <c r="C346" s="372" t="s">
        <v>1211</v>
      </c>
      <c r="D346" s="382">
        <v>877930</v>
      </c>
      <c r="E346" s="383">
        <v>877929.99</v>
      </c>
      <c r="F346" s="384">
        <v>0.01</v>
      </c>
      <c r="G346" s="71" t="str">
        <f t="shared" si="6"/>
        <v>200</v>
      </c>
    </row>
    <row r="347" spans="1:7" s="72" customFormat="1" ht="22.5">
      <c r="A347" s="373" t="s">
        <v>38</v>
      </c>
      <c r="B347" s="374">
        <v>200</v>
      </c>
      <c r="C347" s="372" t="s">
        <v>1212</v>
      </c>
      <c r="D347" s="382">
        <v>877930</v>
      </c>
      <c r="E347" s="383">
        <v>877929.99</v>
      </c>
      <c r="F347" s="384">
        <v>0.01</v>
      </c>
      <c r="G347" s="71" t="str">
        <f t="shared" si="6"/>
        <v>240</v>
      </c>
    </row>
    <row r="348" spans="1:7" s="70" customFormat="1" ht="12.75">
      <c r="A348" s="370" t="s">
        <v>1658</v>
      </c>
      <c r="B348" s="371">
        <v>200</v>
      </c>
      <c r="C348" s="369" t="s">
        <v>1590</v>
      </c>
      <c r="D348" s="385">
        <v>877930</v>
      </c>
      <c r="E348" s="380">
        <v>877929.99</v>
      </c>
      <c r="F348" s="386">
        <v>0.01</v>
      </c>
      <c r="G348" s="71" t="str">
        <f t="shared" si="6"/>
        <v>244</v>
      </c>
    </row>
    <row r="349" spans="1:7" s="72" customFormat="1" ht="45">
      <c r="A349" s="373" t="s">
        <v>1374</v>
      </c>
      <c r="B349" s="374">
        <v>200</v>
      </c>
      <c r="C349" s="372" t="s">
        <v>1213</v>
      </c>
      <c r="D349" s="382">
        <v>182260</v>
      </c>
      <c r="E349" s="383">
        <v>182260</v>
      </c>
      <c r="F349" s="384">
        <v>0</v>
      </c>
      <c r="G349" s="71" t="str">
        <f t="shared" si="6"/>
        <v>000</v>
      </c>
    </row>
    <row r="350" spans="1:7" s="72" customFormat="1" ht="22.5">
      <c r="A350" s="373" t="s">
        <v>411</v>
      </c>
      <c r="B350" s="374">
        <v>200</v>
      </c>
      <c r="C350" s="372" t="s">
        <v>1214</v>
      </c>
      <c r="D350" s="382">
        <v>182260</v>
      </c>
      <c r="E350" s="383">
        <v>182260</v>
      </c>
      <c r="F350" s="384">
        <v>0</v>
      </c>
      <c r="G350" s="71" t="str">
        <f t="shared" si="6"/>
        <v>200</v>
      </c>
    </row>
    <row r="351" spans="1:7" s="72" customFormat="1" ht="22.5">
      <c r="A351" s="373" t="s">
        <v>38</v>
      </c>
      <c r="B351" s="374">
        <v>200</v>
      </c>
      <c r="C351" s="372" t="s">
        <v>1215</v>
      </c>
      <c r="D351" s="382">
        <v>182260</v>
      </c>
      <c r="E351" s="383">
        <v>182260</v>
      </c>
      <c r="F351" s="384">
        <v>0</v>
      </c>
      <c r="G351" s="71" t="str">
        <f t="shared" si="6"/>
        <v>240</v>
      </c>
    </row>
    <row r="352" spans="1:7" s="72" customFormat="1" ht="12.75">
      <c r="A352" s="370" t="s">
        <v>1658</v>
      </c>
      <c r="B352" s="371">
        <v>200</v>
      </c>
      <c r="C352" s="369" t="s">
        <v>1591</v>
      </c>
      <c r="D352" s="385">
        <v>182260</v>
      </c>
      <c r="E352" s="380">
        <v>182260</v>
      </c>
      <c r="F352" s="386">
        <v>0</v>
      </c>
      <c r="G352" s="71" t="str">
        <f t="shared" si="6"/>
        <v>244</v>
      </c>
    </row>
    <row r="353" spans="1:7" s="72" customFormat="1" ht="12.75">
      <c r="A353" s="373" t="s">
        <v>243</v>
      </c>
      <c r="B353" s="374">
        <v>200</v>
      </c>
      <c r="C353" s="372" t="s">
        <v>1843</v>
      </c>
      <c r="D353" s="382">
        <v>1521586</v>
      </c>
      <c r="E353" s="383">
        <v>1513712.82</v>
      </c>
      <c r="F353" s="384">
        <v>7873.18</v>
      </c>
      <c r="G353" s="71" t="str">
        <f t="shared" si="6"/>
        <v>000</v>
      </c>
    </row>
    <row r="354" spans="1:7" s="72" customFormat="1" ht="33.75">
      <c r="A354" s="373" t="s">
        <v>2092</v>
      </c>
      <c r="B354" s="374">
        <v>200</v>
      </c>
      <c r="C354" s="372" t="s">
        <v>2380</v>
      </c>
      <c r="D354" s="382">
        <v>129898</v>
      </c>
      <c r="E354" s="383">
        <v>122024.82</v>
      </c>
      <c r="F354" s="384">
        <v>7873.18</v>
      </c>
      <c r="G354" s="71" t="str">
        <f t="shared" si="6"/>
        <v>000</v>
      </c>
    </row>
    <row r="355" spans="1:7" s="72" customFormat="1" ht="33.75">
      <c r="A355" s="373" t="s">
        <v>36</v>
      </c>
      <c r="B355" s="374">
        <v>200</v>
      </c>
      <c r="C355" s="372" t="s">
        <v>2381</v>
      </c>
      <c r="D355" s="382">
        <v>129898</v>
      </c>
      <c r="E355" s="383">
        <v>122024.82</v>
      </c>
      <c r="F355" s="384">
        <v>7873.18</v>
      </c>
      <c r="G355" s="71" t="str">
        <f t="shared" si="6"/>
        <v>100</v>
      </c>
    </row>
    <row r="356" spans="1:7" s="72" customFormat="1" ht="12.75">
      <c r="A356" s="373" t="s">
        <v>41</v>
      </c>
      <c r="B356" s="374">
        <v>200</v>
      </c>
      <c r="C356" s="372" t="s">
        <v>2382</v>
      </c>
      <c r="D356" s="382">
        <v>129898</v>
      </c>
      <c r="E356" s="383">
        <v>122024.82</v>
      </c>
      <c r="F356" s="384">
        <v>7873.18</v>
      </c>
      <c r="G356" s="71" t="str">
        <f t="shared" si="6"/>
        <v>110</v>
      </c>
    </row>
    <row r="357" spans="1:7" s="72" customFormat="1" ht="12.75">
      <c r="A357" s="370" t="s">
        <v>412</v>
      </c>
      <c r="B357" s="371">
        <v>200</v>
      </c>
      <c r="C357" s="369" t="s">
        <v>2383</v>
      </c>
      <c r="D357" s="385">
        <v>99768.08</v>
      </c>
      <c r="E357" s="380">
        <v>94180.76</v>
      </c>
      <c r="F357" s="386">
        <v>5587.32</v>
      </c>
      <c r="G357" s="71" t="str">
        <f t="shared" si="6"/>
        <v>111</v>
      </c>
    </row>
    <row r="358" spans="1:7" s="70" customFormat="1" ht="22.5">
      <c r="A358" s="370" t="s">
        <v>414</v>
      </c>
      <c r="B358" s="371">
        <v>200</v>
      </c>
      <c r="C358" s="369" t="s">
        <v>2384</v>
      </c>
      <c r="D358" s="385">
        <v>30129.92</v>
      </c>
      <c r="E358" s="380">
        <v>27844.06</v>
      </c>
      <c r="F358" s="386">
        <v>2285.86</v>
      </c>
      <c r="G358" s="71" t="str">
        <f t="shared" si="6"/>
        <v>119</v>
      </c>
    </row>
    <row r="359" spans="1:7" s="70" customFormat="1" ht="33.75">
      <c r="A359" s="373" t="s">
        <v>2011</v>
      </c>
      <c r="B359" s="374">
        <v>200</v>
      </c>
      <c r="C359" s="372" t="s">
        <v>2012</v>
      </c>
      <c r="D359" s="382">
        <v>992300</v>
      </c>
      <c r="E359" s="383">
        <v>992300</v>
      </c>
      <c r="F359" s="384">
        <v>0</v>
      </c>
      <c r="G359" s="71" t="str">
        <f t="shared" si="6"/>
        <v>000</v>
      </c>
    </row>
    <row r="360" spans="1:7" s="72" customFormat="1" ht="33.75">
      <c r="A360" s="373" t="s">
        <v>36</v>
      </c>
      <c r="B360" s="374">
        <v>200</v>
      </c>
      <c r="C360" s="372" t="s">
        <v>2013</v>
      </c>
      <c r="D360" s="382">
        <v>992300</v>
      </c>
      <c r="E360" s="383">
        <v>992300</v>
      </c>
      <c r="F360" s="384">
        <v>0</v>
      </c>
      <c r="G360" s="71" t="str">
        <f t="shared" si="6"/>
        <v>100</v>
      </c>
    </row>
    <row r="361" spans="1:7" s="72" customFormat="1" ht="12.75">
      <c r="A361" s="373" t="s">
        <v>41</v>
      </c>
      <c r="B361" s="374">
        <v>200</v>
      </c>
      <c r="C361" s="372" t="s">
        <v>2014</v>
      </c>
      <c r="D361" s="382">
        <v>992300</v>
      </c>
      <c r="E361" s="383">
        <v>992300</v>
      </c>
      <c r="F361" s="384">
        <v>0</v>
      </c>
      <c r="G361" s="71" t="str">
        <f t="shared" si="6"/>
        <v>110</v>
      </c>
    </row>
    <row r="362" spans="1:7" s="72" customFormat="1" ht="12.75">
      <c r="A362" s="370" t="s">
        <v>412</v>
      </c>
      <c r="B362" s="371">
        <v>200</v>
      </c>
      <c r="C362" s="369" t="s">
        <v>2015</v>
      </c>
      <c r="D362" s="385">
        <v>762135</v>
      </c>
      <c r="E362" s="380">
        <v>762135</v>
      </c>
      <c r="F362" s="386">
        <v>0</v>
      </c>
      <c r="G362" s="71" t="str">
        <f t="shared" si="6"/>
        <v>111</v>
      </c>
    </row>
    <row r="363" spans="1:7" s="72" customFormat="1" ht="22.5">
      <c r="A363" s="370" t="s">
        <v>414</v>
      </c>
      <c r="B363" s="371">
        <v>200</v>
      </c>
      <c r="C363" s="369" t="s">
        <v>2016</v>
      </c>
      <c r="D363" s="385">
        <v>230165</v>
      </c>
      <c r="E363" s="380">
        <v>230165</v>
      </c>
      <c r="F363" s="386">
        <v>0</v>
      </c>
      <c r="G363" s="71" t="str">
        <f t="shared" si="6"/>
        <v>119</v>
      </c>
    </row>
    <row r="364" spans="1:7" s="70" customFormat="1" ht="22.5">
      <c r="A364" s="373" t="s">
        <v>1811</v>
      </c>
      <c r="B364" s="374">
        <v>200</v>
      </c>
      <c r="C364" s="372" t="s">
        <v>1844</v>
      </c>
      <c r="D364" s="382">
        <v>399388</v>
      </c>
      <c r="E364" s="383">
        <v>399388</v>
      </c>
      <c r="F364" s="384">
        <v>0</v>
      </c>
      <c r="G364" s="71" t="str">
        <f t="shared" si="6"/>
        <v>000</v>
      </c>
    </row>
    <row r="365" spans="1:7" s="72" customFormat="1" ht="33.75">
      <c r="A365" s="373" t="s">
        <v>36</v>
      </c>
      <c r="B365" s="374">
        <v>200</v>
      </c>
      <c r="C365" s="372" t="s">
        <v>1845</v>
      </c>
      <c r="D365" s="382">
        <v>399388</v>
      </c>
      <c r="E365" s="383">
        <v>399388</v>
      </c>
      <c r="F365" s="384">
        <v>0</v>
      </c>
      <c r="G365" s="71" t="str">
        <f t="shared" si="6"/>
        <v>100</v>
      </c>
    </row>
    <row r="366" spans="1:7" s="72" customFormat="1" ht="12.75">
      <c r="A366" s="373" t="s">
        <v>41</v>
      </c>
      <c r="B366" s="374">
        <v>200</v>
      </c>
      <c r="C366" s="372" t="s">
        <v>1846</v>
      </c>
      <c r="D366" s="382">
        <v>399388</v>
      </c>
      <c r="E366" s="383">
        <v>399388</v>
      </c>
      <c r="F366" s="384">
        <v>0</v>
      </c>
      <c r="G366" s="71" t="str">
        <f t="shared" si="6"/>
        <v>110</v>
      </c>
    </row>
    <row r="367" spans="1:7" s="70" customFormat="1" ht="12.75">
      <c r="A367" s="370" t="s">
        <v>412</v>
      </c>
      <c r="B367" s="371">
        <v>200</v>
      </c>
      <c r="C367" s="369" t="s">
        <v>1847</v>
      </c>
      <c r="D367" s="385">
        <v>306752</v>
      </c>
      <c r="E367" s="380">
        <v>306752</v>
      </c>
      <c r="F367" s="386">
        <v>0</v>
      </c>
      <c r="G367" s="71" t="str">
        <f t="shared" si="6"/>
        <v>111</v>
      </c>
    </row>
    <row r="368" spans="1:7" s="72" customFormat="1" ht="22.5">
      <c r="A368" s="370" t="s">
        <v>414</v>
      </c>
      <c r="B368" s="371">
        <v>200</v>
      </c>
      <c r="C368" s="369" t="s">
        <v>1848</v>
      </c>
      <c r="D368" s="385">
        <v>92636</v>
      </c>
      <c r="E368" s="380">
        <v>92636</v>
      </c>
      <c r="F368" s="386">
        <v>0</v>
      </c>
      <c r="G368" s="71" t="str">
        <f t="shared" si="6"/>
        <v>119</v>
      </c>
    </row>
    <row r="369" spans="1:7" s="72" customFormat="1" ht="12.75">
      <c r="A369" s="373" t="s">
        <v>717</v>
      </c>
      <c r="B369" s="374">
        <v>200</v>
      </c>
      <c r="C369" s="372" t="s">
        <v>1216</v>
      </c>
      <c r="D369" s="382">
        <v>53538467.1</v>
      </c>
      <c r="E369" s="383">
        <v>52824984.1</v>
      </c>
      <c r="F369" s="384">
        <v>713483</v>
      </c>
      <c r="G369" s="71" t="str">
        <f t="shared" si="6"/>
        <v>000</v>
      </c>
    </row>
    <row r="370" spans="1:7" s="72" customFormat="1" ht="12.75">
      <c r="A370" s="373" t="s">
        <v>588</v>
      </c>
      <c r="B370" s="374">
        <v>200</v>
      </c>
      <c r="C370" s="372" t="s">
        <v>1217</v>
      </c>
      <c r="D370" s="382">
        <v>43583018.49</v>
      </c>
      <c r="E370" s="383">
        <v>43024441.49</v>
      </c>
      <c r="F370" s="384">
        <v>558577</v>
      </c>
      <c r="G370" s="71" t="str">
        <f t="shared" si="6"/>
        <v>000</v>
      </c>
    </row>
    <row r="371" spans="1:7" s="72" customFormat="1" ht="22.5">
      <c r="A371" s="373" t="s">
        <v>415</v>
      </c>
      <c r="B371" s="374">
        <v>200</v>
      </c>
      <c r="C371" s="372" t="s">
        <v>1218</v>
      </c>
      <c r="D371" s="382">
        <v>42107919.49</v>
      </c>
      <c r="E371" s="383">
        <v>41549342.49</v>
      </c>
      <c r="F371" s="384">
        <v>558577</v>
      </c>
      <c r="G371" s="71" t="str">
        <f t="shared" si="6"/>
        <v>000</v>
      </c>
    </row>
    <row r="372" spans="1:7" s="72" customFormat="1" ht="33.75">
      <c r="A372" s="373" t="s">
        <v>838</v>
      </c>
      <c r="B372" s="374">
        <v>200</v>
      </c>
      <c r="C372" s="372" t="s">
        <v>1219</v>
      </c>
      <c r="D372" s="382">
        <v>996418</v>
      </c>
      <c r="E372" s="383">
        <v>988018</v>
      </c>
      <c r="F372" s="384">
        <v>8400</v>
      </c>
      <c r="G372" s="71" t="str">
        <f t="shared" si="6"/>
        <v>000</v>
      </c>
    </row>
    <row r="373" spans="1:7" s="70" customFormat="1" ht="12.75">
      <c r="A373" s="373" t="s">
        <v>42</v>
      </c>
      <c r="B373" s="374">
        <v>200</v>
      </c>
      <c r="C373" s="372" t="s">
        <v>1220</v>
      </c>
      <c r="D373" s="382">
        <v>996418</v>
      </c>
      <c r="E373" s="383">
        <v>988018</v>
      </c>
      <c r="F373" s="384">
        <v>8400</v>
      </c>
      <c r="G373" s="71" t="str">
        <f t="shared" si="6"/>
        <v>500</v>
      </c>
    </row>
    <row r="374" spans="1:7" s="72" customFormat="1" ht="12.75">
      <c r="A374" s="370" t="s">
        <v>512</v>
      </c>
      <c r="B374" s="371">
        <v>200</v>
      </c>
      <c r="C374" s="369" t="s">
        <v>1221</v>
      </c>
      <c r="D374" s="385">
        <v>996418</v>
      </c>
      <c r="E374" s="380">
        <v>988018</v>
      </c>
      <c r="F374" s="386">
        <v>8400</v>
      </c>
      <c r="G374" s="71" t="str">
        <f t="shared" si="6"/>
        <v>540</v>
      </c>
    </row>
    <row r="375" spans="1:7" s="72" customFormat="1" ht="78.75">
      <c r="A375" s="377" t="s">
        <v>1705</v>
      </c>
      <c r="B375" s="374">
        <v>200</v>
      </c>
      <c r="C375" s="372" t="s">
        <v>1706</v>
      </c>
      <c r="D375" s="382">
        <v>32732149.53</v>
      </c>
      <c r="E375" s="383">
        <v>32732149.53</v>
      </c>
      <c r="F375" s="384">
        <v>0</v>
      </c>
      <c r="G375" s="71" t="str">
        <f t="shared" si="6"/>
        <v>000</v>
      </c>
    </row>
    <row r="376" spans="1:7" s="72" customFormat="1" ht="12.75">
      <c r="A376" s="373" t="s">
        <v>42</v>
      </c>
      <c r="B376" s="374">
        <v>200</v>
      </c>
      <c r="C376" s="372" t="s">
        <v>1707</v>
      </c>
      <c r="D376" s="382">
        <v>32732149.53</v>
      </c>
      <c r="E376" s="383">
        <v>32732149.53</v>
      </c>
      <c r="F376" s="384">
        <v>0</v>
      </c>
      <c r="G376" s="71" t="str">
        <f t="shared" si="6"/>
        <v>500</v>
      </c>
    </row>
    <row r="377" spans="1:7" s="72" customFormat="1" ht="12.75">
      <c r="A377" s="370" t="s">
        <v>512</v>
      </c>
      <c r="B377" s="371">
        <v>200</v>
      </c>
      <c r="C377" s="369" t="s">
        <v>1708</v>
      </c>
      <c r="D377" s="385">
        <v>32732149.53</v>
      </c>
      <c r="E377" s="380">
        <v>32732149.53</v>
      </c>
      <c r="F377" s="386">
        <v>0</v>
      </c>
      <c r="G377" s="71" t="str">
        <f t="shared" si="6"/>
        <v>540</v>
      </c>
    </row>
    <row r="378" spans="1:7" s="72" customFormat="1" ht="12.75">
      <c r="A378" s="373" t="s">
        <v>590</v>
      </c>
      <c r="B378" s="374">
        <v>200</v>
      </c>
      <c r="C378" s="372" t="s">
        <v>1222</v>
      </c>
      <c r="D378" s="382">
        <v>7984122</v>
      </c>
      <c r="E378" s="383">
        <v>7433945</v>
      </c>
      <c r="F378" s="384">
        <v>550177</v>
      </c>
      <c r="G378" s="71" t="str">
        <f t="shared" si="6"/>
        <v>000</v>
      </c>
    </row>
    <row r="379" spans="1:7" s="72" customFormat="1" ht="22.5">
      <c r="A379" s="373" t="s">
        <v>411</v>
      </c>
      <c r="B379" s="374">
        <v>200</v>
      </c>
      <c r="C379" s="372" t="s">
        <v>1223</v>
      </c>
      <c r="D379" s="382">
        <v>7754232</v>
      </c>
      <c r="E379" s="383">
        <v>7204055</v>
      </c>
      <c r="F379" s="384">
        <v>550177</v>
      </c>
      <c r="G379" s="71" t="str">
        <f t="shared" si="6"/>
        <v>200</v>
      </c>
    </row>
    <row r="380" spans="1:7" s="72" customFormat="1" ht="22.5">
      <c r="A380" s="373" t="s">
        <v>38</v>
      </c>
      <c r="B380" s="374">
        <v>200</v>
      </c>
      <c r="C380" s="372" t="s">
        <v>1224</v>
      </c>
      <c r="D380" s="382">
        <v>7754232</v>
      </c>
      <c r="E380" s="383">
        <v>7204055</v>
      </c>
      <c r="F380" s="384">
        <v>550177</v>
      </c>
      <c r="G380" s="71" t="str">
        <f t="shared" si="6"/>
        <v>240</v>
      </c>
    </row>
    <row r="381" spans="1:7" s="72" customFormat="1" ht="12.75">
      <c r="A381" s="370" t="s">
        <v>1658</v>
      </c>
      <c r="B381" s="371">
        <v>200</v>
      </c>
      <c r="C381" s="369" t="s">
        <v>1225</v>
      </c>
      <c r="D381" s="385">
        <v>7754232</v>
      </c>
      <c r="E381" s="380">
        <v>7204055</v>
      </c>
      <c r="F381" s="386">
        <v>550177</v>
      </c>
      <c r="G381" s="71" t="str">
        <f t="shared" si="6"/>
        <v>244</v>
      </c>
    </row>
    <row r="382" spans="1:7" s="72" customFormat="1" ht="12.75">
      <c r="A382" s="373" t="s">
        <v>43</v>
      </c>
      <c r="B382" s="374">
        <v>200</v>
      </c>
      <c r="C382" s="372" t="s">
        <v>1428</v>
      </c>
      <c r="D382" s="382">
        <v>229890</v>
      </c>
      <c r="E382" s="383">
        <v>229890</v>
      </c>
      <c r="F382" s="384">
        <v>0</v>
      </c>
      <c r="G382" s="71" t="str">
        <f t="shared" si="6"/>
        <v>300</v>
      </c>
    </row>
    <row r="383" spans="1:7" s="70" customFormat="1" ht="12.75">
      <c r="A383" s="370" t="s">
        <v>1427</v>
      </c>
      <c r="B383" s="371">
        <v>200</v>
      </c>
      <c r="C383" s="369" t="s">
        <v>1426</v>
      </c>
      <c r="D383" s="385">
        <v>229890</v>
      </c>
      <c r="E383" s="380">
        <v>229890</v>
      </c>
      <c r="F383" s="386">
        <v>0</v>
      </c>
      <c r="G383" s="71" t="str">
        <f t="shared" si="6"/>
        <v>350</v>
      </c>
    </row>
    <row r="384" spans="1:7" s="72" customFormat="1" ht="12.75">
      <c r="A384" s="373" t="s">
        <v>480</v>
      </c>
      <c r="B384" s="374">
        <v>200</v>
      </c>
      <c r="C384" s="372" t="s">
        <v>2385</v>
      </c>
      <c r="D384" s="382">
        <v>16029.96</v>
      </c>
      <c r="E384" s="383">
        <v>16029.96</v>
      </c>
      <c r="F384" s="384">
        <v>0</v>
      </c>
      <c r="G384" s="71" t="str">
        <f t="shared" si="6"/>
        <v>000</v>
      </c>
    </row>
    <row r="385" spans="1:7" s="72" customFormat="1" ht="12.75">
      <c r="A385" s="373" t="s">
        <v>42</v>
      </c>
      <c r="B385" s="374">
        <v>200</v>
      </c>
      <c r="C385" s="372" t="s">
        <v>2386</v>
      </c>
      <c r="D385" s="382">
        <v>16029.96</v>
      </c>
      <c r="E385" s="383">
        <v>16029.96</v>
      </c>
      <c r="F385" s="384">
        <v>0</v>
      </c>
      <c r="G385" s="71" t="str">
        <f t="shared" si="6"/>
        <v>500</v>
      </c>
    </row>
    <row r="386" spans="1:7" s="72" customFormat="1" ht="12.75">
      <c r="A386" s="370" t="s">
        <v>512</v>
      </c>
      <c r="B386" s="371">
        <v>200</v>
      </c>
      <c r="C386" s="369" t="s">
        <v>2387</v>
      </c>
      <c r="D386" s="385">
        <v>16029.96</v>
      </c>
      <c r="E386" s="380">
        <v>16029.96</v>
      </c>
      <c r="F386" s="386">
        <v>0</v>
      </c>
      <c r="G386" s="71" t="str">
        <f t="shared" si="6"/>
        <v>540</v>
      </c>
    </row>
    <row r="387" spans="1:7" s="72" customFormat="1" ht="12.75">
      <c r="A387" s="373" t="s">
        <v>480</v>
      </c>
      <c r="B387" s="374">
        <v>200</v>
      </c>
      <c r="C387" s="372" t="s">
        <v>2388</v>
      </c>
      <c r="D387" s="382">
        <v>379200</v>
      </c>
      <c r="E387" s="383">
        <v>379200</v>
      </c>
      <c r="F387" s="384">
        <v>0</v>
      </c>
      <c r="G387" s="71" t="str">
        <f t="shared" si="6"/>
        <v>000</v>
      </c>
    </row>
    <row r="388" spans="1:7" s="72" customFormat="1" ht="12.75">
      <c r="A388" s="373" t="s">
        <v>42</v>
      </c>
      <c r="B388" s="374">
        <v>200</v>
      </c>
      <c r="C388" s="372" t="s">
        <v>2389</v>
      </c>
      <c r="D388" s="382">
        <v>379200</v>
      </c>
      <c r="E388" s="383">
        <v>379200</v>
      </c>
      <c r="F388" s="384">
        <v>0</v>
      </c>
      <c r="G388" s="71" t="str">
        <f t="shared" si="6"/>
        <v>500</v>
      </c>
    </row>
    <row r="389" spans="1:7" s="72" customFormat="1" ht="12.75">
      <c r="A389" s="370" t="s">
        <v>512</v>
      </c>
      <c r="B389" s="371">
        <v>200</v>
      </c>
      <c r="C389" s="369" t="s">
        <v>2390</v>
      </c>
      <c r="D389" s="385">
        <v>379200</v>
      </c>
      <c r="E389" s="380">
        <v>379200</v>
      </c>
      <c r="F389" s="386">
        <v>0</v>
      </c>
      <c r="G389" s="71" t="str">
        <f t="shared" si="6"/>
        <v>540</v>
      </c>
    </row>
    <row r="390" spans="1:7" s="72" customFormat="1" ht="12.75">
      <c r="A390" s="373" t="s">
        <v>243</v>
      </c>
      <c r="B390" s="374">
        <v>200</v>
      </c>
      <c r="C390" s="372" t="s">
        <v>1226</v>
      </c>
      <c r="D390" s="382">
        <v>1475099</v>
      </c>
      <c r="E390" s="383">
        <v>1475099</v>
      </c>
      <c r="F390" s="384">
        <v>0</v>
      </c>
      <c r="G390" s="71" t="str">
        <f t="shared" si="6"/>
        <v>000</v>
      </c>
    </row>
    <row r="391" spans="1:7" s="72" customFormat="1" ht="12.75">
      <c r="A391" s="373" t="s">
        <v>590</v>
      </c>
      <c r="B391" s="374">
        <v>200</v>
      </c>
      <c r="C391" s="372" t="s">
        <v>2273</v>
      </c>
      <c r="D391" s="382">
        <v>370000</v>
      </c>
      <c r="E391" s="383">
        <v>370000</v>
      </c>
      <c r="F391" s="384">
        <v>0</v>
      </c>
      <c r="G391" s="71" t="str">
        <f t="shared" si="6"/>
        <v>000</v>
      </c>
    </row>
    <row r="392" spans="1:7" s="72" customFormat="1" ht="22.5">
      <c r="A392" s="373" t="s">
        <v>411</v>
      </c>
      <c r="B392" s="374">
        <v>200</v>
      </c>
      <c r="C392" s="372" t="s">
        <v>2274</v>
      </c>
      <c r="D392" s="382">
        <v>370000</v>
      </c>
      <c r="E392" s="383">
        <v>370000</v>
      </c>
      <c r="F392" s="384">
        <v>0</v>
      </c>
      <c r="G392" s="71" t="str">
        <f t="shared" si="6"/>
        <v>200</v>
      </c>
    </row>
    <row r="393" spans="1:7" s="72" customFormat="1" ht="22.5">
      <c r="A393" s="373" t="s">
        <v>38</v>
      </c>
      <c r="B393" s="374">
        <v>200</v>
      </c>
      <c r="C393" s="372" t="s">
        <v>2275</v>
      </c>
      <c r="D393" s="382">
        <v>370000</v>
      </c>
      <c r="E393" s="383">
        <v>370000</v>
      </c>
      <c r="F393" s="384">
        <v>0</v>
      </c>
      <c r="G393" s="71" t="str">
        <f t="shared" si="6"/>
        <v>240</v>
      </c>
    </row>
    <row r="394" spans="1:7" s="72" customFormat="1" ht="12.75">
      <c r="A394" s="370" t="s">
        <v>1658</v>
      </c>
      <c r="B394" s="371">
        <v>200</v>
      </c>
      <c r="C394" s="369" t="s">
        <v>2276</v>
      </c>
      <c r="D394" s="385">
        <v>370000</v>
      </c>
      <c r="E394" s="380">
        <v>370000</v>
      </c>
      <c r="F394" s="386">
        <v>0</v>
      </c>
      <c r="G394" s="71" t="str">
        <f t="shared" si="6"/>
        <v>244</v>
      </c>
    </row>
    <row r="395" spans="1:7" s="70" customFormat="1" ht="45">
      <c r="A395" s="373" t="s">
        <v>2175</v>
      </c>
      <c r="B395" s="374">
        <v>200</v>
      </c>
      <c r="C395" s="372" t="s">
        <v>2179</v>
      </c>
      <c r="D395" s="382">
        <v>905099</v>
      </c>
      <c r="E395" s="383">
        <v>905099</v>
      </c>
      <c r="F395" s="384">
        <v>0</v>
      </c>
      <c r="G395" s="71" t="str">
        <f t="shared" si="6"/>
        <v>000</v>
      </c>
    </row>
    <row r="396" spans="1:7" s="72" customFormat="1" ht="12.75">
      <c r="A396" s="373" t="s">
        <v>42</v>
      </c>
      <c r="B396" s="374">
        <v>200</v>
      </c>
      <c r="C396" s="372" t="s">
        <v>2180</v>
      </c>
      <c r="D396" s="382">
        <v>905099</v>
      </c>
      <c r="E396" s="383">
        <v>905099</v>
      </c>
      <c r="F396" s="384">
        <v>0</v>
      </c>
      <c r="G396" s="71" t="str">
        <f t="shared" si="6"/>
        <v>500</v>
      </c>
    </row>
    <row r="397" spans="1:7" s="72" customFormat="1" ht="12.75">
      <c r="A397" s="370" t="s">
        <v>512</v>
      </c>
      <c r="B397" s="371">
        <v>200</v>
      </c>
      <c r="C397" s="369" t="s">
        <v>2181</v>
      </c>
      <c r="D397" s="385">
        <v>905099</v>
      </c>
      <c r="E397" s="380">
        <v>905099</v>
      </c>
      <c r="F397" s="386">
        <v>0</v>
      </c>
      <c r="G397" s="71" t="str">
        <f t="shared" si="6"/>
        <v>540</v>
      </c>
    </row>
    <row r="398" spans="1:7" s="70" customFormat="1" ht="12.75">
      <c r="A398" s="373" t="s">
        <v>480</v>
      </c>
      <c r="B398" s="374">
        <v>200</v>
      </c>
      <c r="C398" s="372" t="s">
        <v>146</v>
      </c>
      <c r="D398" s="382">
        <v>200000</v>
      </c>
      <c r="E398" s="383">
        <v>200000</v>
      </c>
      <c r="F398" s="384">
        <v>0</v>
      </c>
      <c r="G398" s="71" t="str">
        <f t="shared" si="6"/>
        <v>000</v>
      </c>
    </row>
    <row r="399" spans="1:7" s="72" customFormat="1" ht="12.75">
      <c r="A399" s="373" t="s">
        <v>42</v>
      </c>
      <c r="B399" s="374">
        <v>200</v>
      </c>
      <c r="C399" s="372" t="s">
        <v>147</v>
      </c>
      <c r="D399" s="382">
        <v>200000</v>
      </c>
      <c r="E399" s="383">
        <v>200000</v>
      </c>
      <c r="F399" s="384">
        <v>0</v>
      </c>
      <c r="G399" s="71" t="str">
        <f t="shared" si="6"/>
        <v>500</v>
      </c>
    </row>
    <row r="400" spans="1:7" s="72" customFormat="1" ht="12.75">
      <c r="A400" s="370" t="s">
        <v>512</v>
      </c>
      <c r="B400" s="371">
        <v>200</v>
      </c>
      <c r="C400" s="369" t="s">
        <v>148</v>
      </c>
      <c r="D400" s="385">
        <v>200000</v>
      </c>
      <c r="E400" s="380">
        <v>200000</v>
      </c>
      <c r="F400" s="386">
        <v>0</v>
      </c>
      <c r="G400" s="71" t="str">
        <f t="shared" si="6"/>
        <v>540</v>
      </c>
    </row>
    <row r="401" spans="1:7" s="72" customFormat="1" ht="12.75">
      <c r="A401" s="373" t="s">
        <v>1387</v>
      </c>
      <c r="B401" s="374">
        <v>200</v>
      </c>
      <c r="C401" s="372" t="s">
        <v>1227</v>
      </c>
      <c r="D401" s="382">
        <v>9955448.61</v>
      </c>
      <c r="E401" s="383">
        <v>9800542.61</v>
      </c>
      <c r="F401" s="384">
        <v>154906</v>
      </c>
      <c r="G401" s="71" t="str">
        <f t="shared" si="6"/>
        <v>000</v>
      </c>
    </row>
    <row r="402" spans="1:7" s="72" customFormat="1" ht="12.75">
      <c r="A402" s="373" t="s">
        <v>243</v>
      </c>
      <c r="B402" s="374">
        <v>200</v>
      </c>
      <c r="C402" s="372" t="s">
        <v>1228</v>
      </c>
      <c r="D402" s="382">
        <v>9955448.61</v>
      </c>
      <c r="E402" s="383">
        <v>9800542.61</v>
      </c>
      <c r="F402" s="384">
        <v>154906</v>
      </c>
      <c r="G402" s="71" t="str">
        <f t="shared" si="6"/>
        <v>000</v>
      </c>
    </row>
    <row r="403" spans="1:7" s="72" customFormat="1" ht="12.75">
      <c r="A403" s="373" t="s">
        <v>1299</v>
      </c>
      <c r="B403" s="374">
        <v>200</v>
      </c>
      <c r="C403" s="372" t="s">
        <v>1448</v>
      </c>
      <c r="D403" s="382">
        <v>8456449.74</v>
      </c>
      <c r="E403" s="383">
        <v>8301543.74</v>
      </c>
      <c r="F403" s="384">
        <v>154906</v>
      </c>
      <c r="G403" s="71" t="str">
        <f t="shared" si="6"/>
        <v>000</v>
      </c>
    </row>
    <row r="404" spans="1:7" s="70" customFormat="1" ht="33.75">
      <c r="A404" s="373" t="s">
        <v>36</v>
      </c>
      <c r="B404" s="374">
        <v>200</v>
      </c>
      <c r="C404" s="372" t="s">
        <v>756</v>
      </c>
      <c r="D404" s="382">
        <v>8438999.74</v>
      </c>
      <c r="E404" s="383">
        <v>8284093.74</v>
      </c>
      <c r="F404" s="384">
        <v>154906</v>
      </c>
      <c r="G404" s="71" t="str">
        <f aca="true" t="shared" si="7" ref="G404:G461">RIGHT(C404,3)</f>
        <v>100</v>
      </c>
    </row>
    <row r="405" spans="1:7" s="72" customFormat="1" ht="12.75">
      <c r="A405" s="373" t="s">
        <v>37</v>
      </c>
      <c r="B405" s="374">
        <v>200</v>
      </c>
      <c r="C405" s="372" t="s">
        <v>757</v>
      </c>
      <c r="D405" s="382">
        <v>8438999.74</v>
      </c>
      <c r="E405" s="383">
        <v>8284093.74</v>
      </c>
      <c r="F405" s="384">
        <v>154906</v>
      </c>
      <c r="G405" s="71" t="str">
        <f t="shared" si="7"/>
        <v>120</v>
      </c>
    </row>
    <row r="406" spans="1:7" s="72" customFormat="1" ht="12.75">
      <c r="A406" s="370" t="s">
        <v>1317</v>
      </c>
      <c r="B406" s="371">
        <v>200</v>
      </c>
      <c r="C406" s="369" t="s">
        <v>758</v>
      </c>
      <c r="D406" s="385">
        <v>5973096.23</v>
      </c>
      <c r="E406" s="380">
        <v>5973096.23</v>
      </c>
      <c r="F406" s="386">
        <v>0</v>
      </c>
      <c r="G406" s="71" t="str">
        <f t="shared" si="7"/>
        <v>121</v>
      </c>
    </row>
    <row r="407" spans="1:7" s="70" customFormat="1" ht="22.5">
      <c r="A407" s="370" t="s">
        <v>244</v>
      </c>
      <c r="B407" s="371">
        <v>200</v>
      </c>
      <c r="C407" s="369" t="s">
        <v>759</v>
      </c>
      <c r="D407" s="385">
        <v>720099.6</v>
      </c>
      <c r="E407" s="380">
        <v>565193.6</v>
      </c>
      <c r="F407" s="386">
        <v>154906</v>
      </c>
      <c r="G407" s="71" t="str">
        <f t="shared" si="7"/>
        <v>122</v>
      </c>
    </row>
    <row r="408" spans="1:7" s="72" customFormat="1" ht="33.75">
      <c r="A408" s="370" t="s">
        <v>1318</v>
      </c>
      <c r="B408" s="371">
        <v>200</v>
      </c>
      <c r="C408" s="369" t="s">
        <v>760</v>
      </c>
      <c r="D408" s="385">
        <v>1745803.91</v>
      </c>
      <c r="E408" s="380">
        <v>1745803.91</v>
      </c>
      <c r="F408" s="386">
        <v>0</v>
      </c>
      <c r="G408" s="71" t="str">
        <f t="shared" si="7"/>
        <v>129</v>
      </c>
    </row>
    <row r="409" spans="1:7" s="72" customFormat="1" ht="22.5">
      <c r="A409" s="373" t="s">
        <v>411</v>
      </c>
      <c r="B409" s="374">
        <v>200</v>
      </c>
      <c r="C409" s="372" t="s">
        <v>761</v>
      </c>
      <c r="D409" s="382">
        <v>17450</v>
      </c>
      <c r="E409" s="383">
        <v>17450</v>
      </c>
      <c r="F409" s="384">
        <v>0</v>
      </c>
      <c r="G409" s="71" t="str">
        <f t="shared" si="7"/>
        <v>200</v>
      </c>
    </row>
    <row r="410" spans="1:7" s="72" customFormat="1" ht="22.5">
      <c r="A410" s="373" t="s">
        <v>38</v>
      </c>
      <c r="B410" s="374">
        <v>200</v>
      </c>
      <c r="C410" s="372" t="s">
        <v>762</v>
      </c>
      <c r="D410" s="382">
        <v>17450</v>
      </c>
      <c r="E410" s="383">
        <v>17450</v>
      </c>
      <c r="F410" s="384">
        <v>0</v>
      </c>
      <c r="G410" s="71" t="str">
        <f t="shared" si="7"/>
        <v>240</v>
      </c>
    </row>
    <row r="411" spans="1:7" s="72" customFormat="1" ht="12.75">
      <c r="A411" s="370" t="s">
        <v>1658</v>
      </c>
      <c r="B411" s="371">
        <v>200</v>
      </c>
      <c r="C411" s="369" t="s">
        <v>763</v>
      </c>
      <c r="D411" s="385">
        <v>17450</v>
      </c>
      <c r="E411" s="380">
        <v>17450</v>
      </c>
      <c r="F411" s="386">
        <v>0</v>
      </c>
      <c r="G411" s="71" t="str">
        <f t="shared" si="7"/>
        <v>244</v>
      </c>
    </row>
    <row r="412" spans="1:7" s="72" customFormat="1" ht="45">
      <c r="A412" s="377" t="s">
        <v>1593</v>
      </c>
      <c r="B412" s="374">
        <v>200</v>
      </c>
      <c r="C412" s="372" t="s">
        <v>764</v>
      </c>
      <c r="D412" s="382">
        <v>525214.98</v>
      </c>
      <c r="E412" s="383">
        <v>525214.98</v>
      </c>
      <c r="F412" s="384">
        <v>0</v>
      </c>
      <c r="G412" s="71" t="str">
        <f t="shared" si="7"/>
        <v>000</v>
      </c>
    </row>
    <row r="413" spans="1:7" s="72" customFormat="1" ht="33.75">
      <c r="A413" s="373" t="s">
        <v>36</v>
      </c>
      <c r="B413" s="374">
        <v>200</v>
      </c>
      <c r="C413" s="372" t="s">
        <v>765</v>
      </c>
      <c r="D413" s="382">
        <v>525214.98</v>
      </c>
      <c r="E413" s="383">
        <v>525214.98</v>
      </c>
      <c r="F413" s="384">
        <v>0</v>
      </c>
      <c r="G413" s="71" t="str">
        <f t="shared" si="7"/>
        <v>100</v>
      </c>
    </row>
    <row r="414" spans="1:7" s="72" customFormat="1" ht="12.75">
      <c r="A414" s="373" t="s">
        <v>37</v>
      </c>
      <c r="B414" s="374">
        <v>200</v>
      </c>
      <c r="C414" s="372" t="s">
        <v>766</v>
      </c>
      <c r="D414" s="382">
        <v>525214.98</v>
      </c>
      <c r="E414" s="383">
        <v>525214.98</v>
      </c>
      <c r="F414" s="384">
        <v>0</v>
      </c>
      <c r="G414" s="71" t="str">
        <f t="shared" si="7"/>
        <v>120</v>
      </c>
    </row>
    <row r="415" spans="1:7" s="72" customFormat="1" ht="12.75">
      <c r="A415" s="370" t="s">
        <v>1317</v>
      </c>
      <c r="B415" s="371">
        <v>200</v>
      </c>
      <c r="C415" s="369" t="s">
        <v>767</v>
      </c>
      <c r="D415" s="385">
        <v>407056.45</v>
      </c>
      <c r="E415" s="380">
        <v>407056.45</v>
      </c>
      <c r="F415" s="386">
        <v>0</v>
      </c>
      <c r="G415" s="71" t="str">
        <f t="shared" si="7"/>
        <v>121</v>
      </c>
    </row>
    <row r="416" spans="1:7" s="70" customFormat="1" ht="33.75">
      <c r="A416" s="370" t="s">
        <v>1318</v>
      </c>
      <c r="B416" s="371">
        <v>200</v>
      </c>
      <c r="C416" s="369" t="s">
        <v>768</v>
      </c>
      <c r="D416" s="385">
        <v>118158.53</v>
      </c>
      <c r="E416" s="380">
        <v>118158.53</v>
      </c>
      <c r="F416" s="386">
        <v>0</v>
      </c>
      <c r="G416" s="71" t="str">
        <f t="shared" si="7"/>
        <v>129</v>
      </c>
    </row>
    <row r="417" spans="1:7" s="72" customFormat="1" ht="33.75">
      <c r="A417" s="373" t="s">
        <v>2254</v>
      </c>
      <c r="B417" s="374">
        <v>200</v>
      </c>
      <c r="C417" s="372" t="s">
        <v>2277</v>
      </c>
      <c r="D417" s="382">
        <v>653113.89</v>
      </c>
      <c r="E417" s="383">
        <v>653113.89</v>
      </c>
      <c r="F417" s="384">
        <v>0</v>
      </c>
      <c r="G417" s="71" t="str">
        <f t="shared" si="7"/>
        <v>000</v>
      </c>
    </row>
    <row r="418" spans="1:7" s="72" customFormat="1" ht="33.75">
      <c r="A418" s="373" t="s">
        <v>36</v>
      </c>
      <c r="B418" s="374">
        <v>200</v>
      </c>
      <c r="C418" s="372" t="s">
        <v>2278</v>
      </c>
      <c r="D418" s="382">
        <v>653113.89</v>
      </c>
      <c r="E418" s="383">
        <v>653113.89</v>
      </c>
      <c r="F418" s="384">
        <v>0</v>
      </c>
      <c r="G418" s="71" t="str">
        <f t="shared" si="7"/>
        <v>100</v>
      </c>
    </row>
    <row r="419" spans="1:7" s="70" customFormat="1" ht="12.75">
      <c r="A419" s="373" t="s">
        <v>37</v>
      </c>
      <c r="B419" s="374">
        <v>200</v>
      </c>
      <c r="C419" s="372" t="s">
        <v>2279</v>
      </c>
      <c r="D419" s="382">
        <v>653113.89</v>
      </c>
      <c r="E419" s="383">
        <v>653113.89</v>
      </c>
      <c r="F419" s="384">
        <v>0</v>
      </c>
      <c r="G419" s="71" t="str">
        <f t="shared" si="7"/>
        <v>120</v>
      </c>
    </row>
    <row r="420" spans="1:7" s="70" customFormat="1" ht="12.75">
      <c r="A420" s="370" t="s">
        <v>1317</v>
      </c>
      <c r="B420" s="371">
        <v>200</v>
      </c>
      <c r="C420" s="369" t="s">
        <v>2280</v>
      </c>
      <c r="D420" s="385">
        <v>523161.29</v>
      </c>
      <c r="E420" s="380">
        <v>523161.29</v>
      </c>
      <c r="F420" s="386">
        <v>0</v>
      </c>
      <c r="G420" s="71" t="str">
        <f t="shared" si="7"/>
        <v>121</v>
      </c>
    </row>
    <row r="421" spans="1:7" s="70" customFormat="1" ht="33.75">
      <c r="A421" s="370" t="s">
        <v>1318</v>
      </c>
      <c r="B421" s="371">
        <v>200</v>
      </c>
      <c r="C421" s="369" t="s">
        <v>2281</v>
      </c>
      <c r="D421" s="385">
        <v>129952.6</v>
      </c>
      <c r="E421" s="380">
        <v>129952.6</v>
      </c>
      <c r="F421" s="386">
        <v>0</v>
      </c>
      <c r="G421" s="71" t="str">
        <f t="shared" si="7"/>
        <v>129</v>
      </c>
    </row>
    <row r="422" spans="1:7" s="72" customFormat="1" ht="22.5">
      <c r="A422" s="373" t="s">
        <v>1811</v>
      </c>
      <c r="B422" s="374">
        <v>200</v>
      </c>
      <c r="C422" s="372" t="s">
        <v>1849</v>
      </c>
      <c r="D422" s="382">
        <v>320670</v>
      </c>
      <c r="E422" s="383">
        <v>320670</v>
      </c>
      <c r="F422" s="384">
        <v>0</v>
      </c>
      <c r="G422" s="71" t="str">
        <f t="shared" si="7"/>
        <v>000</v>
      </c>
    </row>
    <row r="423" spans="1:7" s="72" customFormat="1" ht="33.75">
      <c r="A423" s="373" t="s">
        <v>36</v>
      </c>
      <c r="B423" s="374">
        <v>200</v>
      </c>
      <c r="C423" s="372" t="s">
        <v>1850</v>
      </c>
      <c r="D423" s="382">
        <v>320670</v>
      </c>
      <c r="E423" s="383">
        <v>320670</v>
      </c>
      <c r="F423" s="384">
        <v>0</v>
      </c>
      <c r="G423" s="71" t="str">
        <f t="shared" si="7"/>
        <v>100</v>
      </c>
    </row>
    <row r="424" spans="1:7" s="72" customFormat="1" ht="12.75">
      <c r="A424" s="373" t="s">
        <v>37</v>
      </c>
      <c r="B424" s="374">
        <v>200</v>
      </c>
      <c r="C424" s="372" t="s">
        <v>1851</v>
      </c>
      <c r="D424" s="382">
        <v>320670</v>
      </c>
      <c r="E424" s="383">
        <v>320670</v>
      </c>
      <c r="F424" s="384">
        <v>0</v>
      </c>
      <c r="G424" s="71" t="str">
        <f t="shared" si="7"/>
        <v>120</v>
      </c>
    </row>
    <row r="425" spans="1:7" s="72" customFormat="1" ht="12.75">
      <c r="A425" s="370" t="s">
        <v>1317</v>
      </c>
      <c r="B425" s="371">
        <v>200</v>
      </c>
      <c r="C425" s="369" t="s">
        <v>1852</v>
      </c>
      <c r="D425" s="385">
        <v>246290</v>
      </c>
      <c r="E425" s="380">
        <v>246290</v>
      </c>
      <c r="F425" s="386">
        <v>0</v>
      </c>
      <c r="G425" s="71" t="str">
        <f t="shared" si="7"/>
        <v>121</v>
      </c>
    </row>
    <row r="426" spans="1:7" s="72" customFormat="1" ht="33.75">
      <c r="A426" s="370" t="s">
        <v>1318</v>
      </c>
      <c r="B426" s="371">
        <v>200</v>
      </c>
      <c r="C426" s="369" t="s">
        <v>1853</v>
      </c>
      <c r="D426" s="385">
        <v>74380</v>
      </c>
      <c r="E426" s="380">
        <v>74380</v>
      </c>
      <c r="F426" s="386">
        <v>0</v>
      </c>
      <c r="G426" s="71" t="str">
        <f t="shared" si="7"/>
        <v>129</v>
      </c>
    </row>
    <row r="427" spans="1:7" s="72" customFormat="1" ht="12.75">
      <c r="A427" s="373" t="s">
        <v>1362</v>
      </c>
      <c r="B427" s="374">
        <v>200</v>
      </c>
      <c r="C427" s="372" t="s">
        <v>769</v>
      </c>
      <c r="D427" s="382">
        <v>24370000</v>
      </c>
      <c r="E427" s="383">
        <v>23196964.28</v>
      </c>
      <c r="F427" s="384">
        <v>1173035.72</v>
      </c>
      <c r="G427" s="71" t="str">
        <f t="shared" si="7"/>
        <v>000</v>
      </c>
    </row>
    <row r="428" spans="1:7" s="72" customFormat="1" ht="12.75">
      <c r="A428" s="373" t="s">
        <v>601</v>
      </c>
      <c r="B428" s="374">
        <v>200</v>
      </c>
      <c r="C428" s="372" t="s">
        <v>770</v>
      </c>
      <c r="D428" s="382">
        <v>24370000</v>
      </c>
      <c r="E428" s="383">
        <v>23196964.28</v>
      </c>
      <c r="F428" s="384">
        <v>1173035.72</v>
      </c>
      <c r="G428" s="71" t="str">
        <f t="shared" si="7"/>
        <v>000</v>
      </c>
    </row>
    <row r="429" spans="1:7" s="72" customFormat="1" ht="33.75">
      <c r="A429" s="373" t="s">
        <v>2</v>
      </c>
      <c r="B429" s="374">
        <v>200</v>
      </c>
      <c r="C429" s="372" t="s">
        <v>771</v>
      </c>
      <c r="D429" s="382">
        <v>16040529.44</v>
      </c>
      <c r="E429" s="383">
        <v>15336834.44</v>
      </c>
      <c r="F429" s="384">
        <v>703695</v>
      </c>
      <c r="G429" s="71" t="str">
        <f t="shared" si="7"/>
        <v>000</v>
      </c>
    </row>
    <row r="430" spans="1:7" s="70" customFormat="1" ht="22.5">
      <c r="A430" s="373" t="s">
        <v>1709</v>
      </c>
      <c r="B430" s="374">
        <v>200</v>
      </c>
      <c r="C430" s="372" t="s">
        <v>772</v>
      </c>
      <c r="D430" s="382">
        <v>14514300</v>
      </c>
      <c r="E430" s="383">
        <v>13810605</v>
      </c>
      <c r="F430" s="384">
        <v>703695</v>
      </c>
      <c r="G430" s="71" t="str">
        <f t="shared" si="7"/>
        <v>000</v>
      </c>
    </row>
    <row r="431" spans="1:7" s="72" customFormat="1" ht="12.75">
      <c r="A431" s="373" t="s">
        <v>43</v>
      </c>
      <c r="B431" s="374">
        <v>200</v>
      </c>
      <c r="C431" s="372" t="s">
        <v>109</v>
      </c>
      <c r="D431" s="382">
        <v>14514300</v>
      </c>
      <c r="E431" s="383">
        <v>13810605</v>
      </c>
      <c r="F431" s="384">
        <v>703695</v>
      </c>
      <c r="G431" s="71" t="str">
        <f t="shared" si="7"/>
        <v>300</v>
      </c>
    </row>
    <row r="432" spans="1:7" s="70" customFormat="1" ht="22.5">
      <c r="A432" s="373" t="s">
        <v>44</v>
      </c>
      <c r="B432" s="374">
        <v>200</v>
      </c>
      <c r="C432" s="372" t="s">
        <v>1171</v>
      </c>
      <c r="D432" s="382">
        <v>14514300</v>
      </c>
      <c r="E432" s="383">
        <v>13810605</v>
      </c>
      <c r="F432" s="384">
        <v>703695</v>
      </c>
      <c r="G432" s="71" t="str">
        <f t="shared" si="7"/>
        <v>320</v>
      </c>
    </row>
    <row r="433" spans="1:7" s="70" customFormat="1" ht="12.75">
      <c r="A433" s="370" t="s">
        <v>259</v>
      </c>
      <c r="B433" s="371">
        <v>200</v>
      </c>
      <c r="C433" s="369" t="s">
        <v>1172</v>
      </c>
      <c r="D433" s="385">
        <v>14514300</v>
      </c>
      <c r="E433" s="380">
        <v>13810605</v>
      </c>
      <c r="F433" s="386">
        <v>703695</v>
      </c>
      <c r="G433" s="71" t="str">
        <f t="shared" si="7"/>
        <v>322</v>
      </c>
    </row>
    <row r="434" spans="1:7" s="72" customFormat="1" ht="56.25">
      <c r="A434" s="377" t="s">
        <v>1601</v>
      </c>
      <c r="B434" s="374">
        <v>200</v>
      </c>
      <c r="C434" s="372" t="s">
        <v>1173</v>
      </c>
      <c r="D434" s="382">
        <v>1526229.44</v>
      </c>
      <c r="E434" s="383">
        <v>1526229.44</v>
      </c>
      <c r="F434" s="384">
        <v>0</v>
      </c>
      <c r="G434" s="71" t="str">
        <f t="shared" si="7"/>
        <v>000</v>
      </c>
    </row>
    <row r="435" spans="1:7" s="72" customFormat="1" ht="56.25">
      <c r="A435" s="377" t="s">
        <v>1602</v>
      </c>
      <c r="B435" s="374">
        <v>200</v>
      </c>
      <c r="C435" s="372" t="s">
        <v>1174</v>
      </c>
      <c r="D435" s="382">
        <v>1526229.44</v>
      </c>
      <c r="E435" s="383">
        <v>1526229.44</v>
      </c>
      <c r="F435" s="384">
        <v>0</v>
      </c>
      <c r="G435" s="71" t="str">
        <f t="shared" si="7"/>
        <v>000</v>
      </c>
    </row>
    <row r="436" spans="1:7" s="72" customFormat="1" ht="12.75">
      <c r="A436" s="373" t="s">
        <v>43</v>
      </c>
      <c r="B436" s="374">
        <v>200</v>
      </c>
      <c r="C436" s="372" t="s">
        <v>1175</v>
      </c>
      <c r="D436" s="382">
        <v>1526229.44</v>
      </c>
      <c r="E436" s="383">
        <v>1526229.44</v>
      </c>
      <c r="F436" s="384">
        <v>0</v>
      </c>
      <c r="G436" s="71" t="str">
        <f t="shared" si="7"/>
        <v>300</v>
      </c>
    </row>
    <row r="437" spans="1:7" s="72" customFormat="1" ht="22.5">
      <c r="A437" s="373" t="s">
        <v>44</v>
      </c>
      <c r="B437" s="374">
        <v>200</v>
      </c>
      <c r="C437" s="372" t="s">
        <v>1454</v>
      </c>
      <c r="D437" s="382">
        <v>1526229.44</v>
      </c>
      <c r="E437" s="383">
        <v>1526229.44</v>
      </c>
      <c r="F437" s="384">
        <v>0</v>
      </c>
      <c r="G437" s="71" t="str">
        <f t="shared" si="7"/>
        <v>320</v>
      </c>
    </row>
    <row r="438" spans="1:7" s="72" customFormat="1" ht="12.75">
      <c r="A438" s="370" t="s">
        <v>259</v>
      </c>
      <c r="B438" s="371">
        <v>200</v>
      </c>
      <c r="C438" s="369" t="s">
        <v>1455</v>
      </c>
      <c r="D438" s="385">
        <v>1526229.44</v>
      </c>
      <c r="E438" s="380">
        <v>1526229.44</v>
      </c>
      <c r="F438" s="386">
        <v>0</v>
      </c>
      <c r="G438" s="71" t="str">
        <f t="shared" si="7"/>
        <v>322</v>
      </c>
    </row>
    <row r="439" spans="1:7" s="72" customFormat="1" ht="45">
      <c r="A439" s="377" t="s">
        <v>1597</v>
      </c>
      <c r="B439" s="374">
        <v>200</v>
      </c>
      <c r="C439" s="372" t="s">
        <v>1176</v>
      </c>
      <c r="D439" s="382">
        <v>5068100</v>
      </c>
      <c r="E439" s="383">
        <v>4599079.28</v>
      </c>
      <c r="F439" s="384">
        <v>469020.72</v>
      </c>
      <c r="G439" s="71" t="str">
        <f t="shared" si="7"/>
        <v>000</v>
      </c>
    </row>
    <row r="440" spans="1:7" s="72" customFormat="1" ht="45">
      <c r="A440" s="373" t="s">
        <v>2391</v>
      </c>
      <c r="B440" s="374">
        <v>200</v>
      </c>
      <c r="C440" s="372" t="s">
        <v>2392</v>
      </c>
      <c r="D440" s="382">
        <v>100000</v>
      </c>
      <c r="E440" s="383">
        <v>0</v>
      </c>
      <c r="F440" s="384">
        <v>100000</v>
      </c>
      <c r="G440" s="71" t="str">
        <f t="shared" si="7"/>
        <v>000</v>
      </c>
    </row>
    <row r="441" spans="1:7" s="72" customFormat="1" ht="12.75">
      <c r="A441" s="373" t="s">
        <v>43</v>
      </c>
      <c r="B441" s="374">
        <v>200</v>
      </c>
      <c r="C441" s="372" t="s">
        <v>2393</v>
      </c>
      <c r="D441" s="382">
        <v>100000</v>
      </c>
      <c r="E441" s="383">
        <v>0</v>
      </c>
      <c r="F441" s="384">
        <v>100000</v>
      </c>
      <c r="G441" s="71" t="str">
        <f t="shared" si="7"/>
        <v>300</v>
      </c>
    </row>
    <row r="442" spans="1:7" s="72" customFormat="1" ht="22.5">
      <c r="A442" s="373" t="s">
        <v>44</v>
      </c>
      <c r="B442" s="374">
        <v>200</v>
      </c>
      <c r="C442" s="372" t="s">
        <v>2394</v>
      </c>
      <c r="D442" s="382">
        <v>100000</v>
      </c>
      <c r="E442" s="383">
        <v>0</v>
      </c>
      <c r="F442" s="384">
        <v>100000</v>
      </c>
      <c r="G442" s="71" t="str">
        <f t="shared" si="7"/>
        <v>320</v>
      </c>
    </row>
    <row r="443" spans="1:7" s="72" customFormat="1" ht="22.5">
      <c r="A443" s="370" t="s">
        <v>50</v>
      </c>
      <c r="B443" s="371">
        <v>200</v>
      </c>
      <c r="C443" s="369" t="s">
        <v>2395</v>
      </c>
      <c r="D443" s="385">
        <v>100000</v>
      </c>
      <c r="E443" s="380">
        <v>0</v>
      </c>
      <c r="F443" s="386">
        <v>100000</v>
      </c>
      <c r="G443" s="71" t="str">
        <f t="shared" si="7"/>
        <v>323</v>
      </c>
    </row>
    <row r="444" spans="1:7" s="70" customFormat="1" ht="45">
      <c r="A444" s="373" t="s">
        <v>1710</v>
      </c>
      <c r="B444" s="374">
        <v>200</v>
      </c>
      <c r="C444" s="372" t="s">
        <v>1177</v>
      </c>
      <c r="D444" s="382">
        <v>335900</v>
      </c>
      <c r="E444" s="383">
        <v>329579.8</v>
      </c>
      <c r="F444" s="384">
        <v>6320.2</v>
      </c>
      <c r="G444" s="71" t="str">
        <f t="shared" si="7"/>
        <v>000</v>
      </c>
    </row>
    <row r="445" spans="1:7" s="72" customFormat="1" ht="12.75">
      <c r="A445" s="373" t="s">
        <v>43</v>
      </c>
      <c r="B445" s="374">
        <v>200</v>
      </c>
      <c r="C445" s="372" t="s">
        <v>1178</v>
      </c>
      <c r="D445" s="382">
        <v>335900</v>
      </c>
      <c r="E445" s="383">
        <v>329579.8</v>
      </c>
      <c r="F445" s="384">
        <v>6320.2</v>
      </c>
      <c r="G445" s="71" t="str">
        <f t="shared" si="7"/>
        <v>300</v>
      </c>
    </row>
    <row r="446" spans="1:7" s="70" customFormat="1" ht="22.5">
      <c r="A446" s="373" t="s">
        <v>44</v>
      </c>
      <c r="B446" s="374">
        <v>200</v>
      </c>
      <c r="C446" s="372" t="s">
        <v>1179</v>
      </c>
      <c r="D446" s="382">
        <v>335900</v>
      </c>
      <c r="E446" s="383">
        <v>329579.8</v>
      </c>
      <c r="F446" s="384">
        <v>6320.2</v>
      </c>
      <c r="G446" s="71" t="str">
        <f t="shared" si="7"/>
        <v>320</v>
      </c>
    </row>
    <row r="447" spans="1:7" s="72" customFormat="1" ht="22.5">
      <c r="A447" s="370" t="s">
        <v>1075</v>
      </c>
      <c r="B447" s="371">
        <v>200</v>
      </c>
      <c r="C447" s="369" t="s">
        <v>1180</v>
      </c>
      <c r="D447" s="385">
        <v>335900</v>
      </c>
      <c r="E447" s="380">
        <v>329579.8</v>
      </c>
      <c r="F447" s="386">
        <v>6320.2</v>
      </c>
      <c r="G447" s="71" t="str">
        <f t="shared" si="7"/>
        <v>321</v>
      </c>
    </row>
    <row r="448" spans="1:7" s="72" customFormat="1" ht="78.75">
      <c r="A448" s="377" t="s">
        <v>1711</v>
      </c>
      <c r="B448" s="374">
        <v>200</v>
      </c>
      <c r="C448" s="372" t="s">
        <v>1181</v>
      </c>
      <c r="D448" s="382">
        <v>982800</v>
      </c>
      <c r="E448" s="383">
        <v>830928.32</v>
      </c>
      <c r="F448" s="384">
        <v>151871.68</v>
      </c>
      <c r="G448" s="71" t="str">
        <f t="shared" si="7"/>
        <v>000</v>
      </c>
    </row>
    <row r="449" spans="1:7" s="70" customFormat="1" ht="22.5">
      <c r="A449" s="373" t="s">
        <v>411</v>
      </c>
      <c r="B449" s="374">
        <v>200</v>
      </c>
      <c r="C449" s="372" t="s">
        <v>1182</v>
      </c>
      <c r="D449" s="382">
        <v>982800</v>
      </c>
      <c r="E449" s="383">
        <v>830928.32</v>
      </c>
      <c r="F449" s="384">
        <v>151871.68</v>
      </c>
      <c r="G449" s="71" t="str">
        <f t="shared" si="7"/>
        <v>200</v>
      </c>
    </row>
    <row r="450" spans="1:7" s="72" customFormat="1" ht="22.5">
      <c r="A450" s="373" t="s">
        <v>38</v>
      </c>
      <c r="B450" s="374">
        <v>200</v>
      </c>
      <c r="C450" s="372" t="s">
        <v>1183</v>
      </c>
      <c r="D450" s="382">
        <v>982800</v>
      </c>
      <c r="E450" s="383">
        <v>830928.32</v>
      </c>
      <c r="F450" s="384">
        <v>151871.68</v>
      </c>
      <c r="G450" s="71" t="str">
        <f t="shared" si="7"/>
        <v>240</v>
      </c>
    </row>
    <row r="451" spans="1:7" s="70" customFormat="1" ht="12.75">
      <c r="A451" s="370" t="s">
        <v>1658</v>
      </c>
      <c r="B451" s="371">
        <v>200</v>
      </c>
      <c r="C451" s="369" t="s">
        <v>1184</v>
      </c>
      <c r="D451" s="385">
        <v>982800</v>
      </c>
      <c r="E451" s="380">
        <v>830928.32</v>
      </c>
      <c r="F451" s="386">
        <v>151871.68</v>
      </c>
      <c r="G451" s="71" t="str">
        <f t="shared" si="7"/>
        <v>244</v>
      </c>
    </row>
    <row r="452" spans="1:7" s="72" customFormat="1" ht="56.25">
      <c r="A452" s="377" t="s">
        <v>2017</v>
      </c>
      <c r="B452" s="374">
        <v>200</v>
      </c>
      <c r="C452" s="372" t="s">
        <v>2018</v>
      </c>
      <c r="D452" s="382">
        <v>800000</v>
      </c>
      <c r="E452" s="383">
        <v>666400</v>
      </c>
      <c r="F452" s="384">
        <v>133600</v>
      </c>
      <c r="G452" s="71" t="str">
        <f t="shared" si="7"/>
        <v>000</v>
      </c>
    </row>
    <row r="453" spans="1:7" s="72" customFormat="1" ht="12.75">
      <c r="A453" s="373" t="s">
        <v>43</v>
      </c>
      <c r="B453" s="374">
        <v>200</v>
      </c>
      <c r="C453" s="372" t="s">
        <v>2019</v>
      </c>
      <c r="D453" s="382">
        <v>800000</v>
      </c>
      <c r="E453" s="383">
        <v>666400</v>
      </c>
      <c r="F453" s="384">
        <v>133600</v>
      </c>
      <c r="G453" s="71" t="str">
        <f t="shared" si="7"/>
        <v>300</v>
      </c>
    </row>
    <row r="454" spans="1:7" s="72" customFormat="1" ht="22.5">
      <c r="A454" s="373" t="s">
        <v>44</v>
      </c>
      <c r="B454" s="374">
        <v>200</v>
      </c>
      <c r="C454" s="372" t="s">
        <v>2020</v>
      </c>
      <c r="D454" s="382">
        <v>800000</v>
      </c>
      <c r="E454" s="383">
        <v>666400</v>
      </c>
      <c r="F454" s="384">
        <v>133600</v>
      </c>
      <c r="G454" s="71" t="str">
        <f t="shared" si="7"/>
        <v>320</v>
      </c>
    </row>
    <row r="455" spans="1:7" s="72" customFormat="1" ht="22.5">
      <c r="A455" s="370" t="s">
        <v>1075</v>
      </c>
      <c r="B455" s="371">
        <v>200</v>
      </c>
      <c r="C455" s="369" t="s">
        <v>2021</v>
      </c>
      <c r="D455" s="385">
        <v>50300</v>
      </c>
      <c r="E455" s="380">
        <v>0</v>
      </c>
      <c r="F455" s="386">
        <v>50300</v>
      </c>
      <c r="G455" s="71" t="str">
        <f t="shared" si="7"/>
        <v>321</v>
      </c>
    </row>
    <row r="456" spans="1:7" s="72" customFormat="1" ht="22.5">
      <c r="A456" s="370" t="s">
        <v>50</v>
      </c>
      <c r="B456" s="371">
        <v>200</v>
      </c>
      <c r="C456" s="369" t="s">
        <v>2282</v>
      </c>
      <c r="D456" s="385">
        <v>749700</v>
      </c>
      <c r="E456" s="380">
        <v>666400</v>
      </c>
      <c r="F456" s="386">
        <v>83300</v>
      </c>
      <c r="G456" s="71" t="str">
        <f t="shared" si="7"/>
        <v>323</v>
      </c>
    </row>
    <row r="457" spans="1:7" s="72" customFormat="1" ht="56.25">
      <c r="A457" s="377" t="s">
        <v>1603</v>
      </c>
      <c r="B457" s="374">
        <v>200</v>
      </c>
      <c r="C457" s="372" t="s">
        <v>1185</v>
      </c>
      <c r="D457" s="382">
        <v>1149600</v>
      </c>
      <c r="E457" s="383">
        <v>1146827.66</v>
      </c>
      <c r="F457" s="384">
        <v>2772.34</v>
      </c>
      <c r="G457" s="71" t="str">
        <f t="shared" si="7"/>
        <v>000</v>
      </c>
    </row>
    <row r="458" spans="1:7" s="72" customFormat="1" ht="22.5">
      <c r="A458" s="373" t="s">
        <v>411</v>
      </c>
      <c r="B458" s="374">
        <v>200</v>
      </c>
      <c r="C458" s="372" t="s">
        <v>2243</v>
      </c>
      <c r="D458" s="382">
        <v>1500</v>
      </c>
      <c r="E458" s="383">
        <v>1074.66</v>
      </c>
      <c r="F458" s="384">
        <v>425.34</v>
      </c>
      <c r="G458" s="71" t="str">
        <f t="shared" si="7"/>
        <v>200</v>
      </c>
    </row>
    <row r="459" spans="1:7" s="72" customFormat="1" ht="22.5">
      <c r="A459" s="373" t="s">
        <v>38</v>
      </c>
      <c r="B459" s="374">
        <v>200</v>
      </c>
      <c r="C459" s="372" t="s">
        <v>2244</v>
      </c>
      <c r="D459" s="382">
        <v>1500</v>
      </c>
      <c r="E459" s="383">
        <v>1074.66</v>
      </c>
      <c r="F459" s="384">
        <v>425.34</v>
      </c>
      <c r="G459" s="71" t="str">
        <f t="shared" si="7"/>
        <v>240</v>
      </c>
    </row>
    <row r="460" spans="1:7" s="70" customFormat="1" ht="12.75">
      <c r="A460" s="370" t="s">
        <v>1658</v>
      </c>
      <c r="B460" s="371">
        <v>200</v>
      </c>
      <c r="C460" s="369" t="s">
        <v>2245</v>
      </c>
      <c r="D460" s="385">
        <v>1500</v>
      </c>
      <c r="E460" s="380">
        <v>1074.66</v>
      </c>
      <c r="F460" s="386">
        <v>425.34</v>
      </c>
      <c r="G460" s="71" t="str">
        <f t="shared" si="7"/>
        <v>244</v>
      </c>
    </row>
    <row r="461" spans="1:7" s="72" customFormat="1" ht="12.75">
      <c r="A461" s="373" t="s">
        <v>43</v>
      </c>
      <c r="B461" s="374">
        <v>200</v>
      </c>
      <c r="C461" s="372" t="s">
        <v>1186</v>
      </c>
      <c r="D461" s="382">
        <v>1148100</v>
      </c>
      <c r="E461" s="383">
        <v>1145753</v>
      </c>
      <c r="F461" s="384">
        <v>2347</v>
      </c>
      <c r="G461" s="71" t="str">
        <f t="shared" si="7"/>
        <v>300</v>
      </c>
    </row>
    <row r="462" spans="1:7" s="72" customFormat="1" ht="22.5">
      <c r="A462" s="373" t="s">
        <v>44</v>
      </c>
      <c r="B462" s="374">
        <v>200</v>
      </c>
      <c r="C462" s="372" t="s">
        <v>1187</v>
      </c>
      <c r="D462" s="382">
        <v>1148100</v>
      </c>
      <c r="E462" s="383">
        <v>1145753</v>
      </c>
      <c r="F462" s="384">
        <v>2347</v>
      </c>
      <c r="G462" s="71" t="str">
        <f aca="true" t="shared" si="8" ref="G462:G525">RIGHT(C462,3)</f>
        <v>320</v>
      </c>
    </row>
    <row r="463" spans="1:7" s="70" customFormat="1" ht="22.5">
      <c r="A463" s="370" t="s">
        <v>1075</v>
      </c>
      <c r="B463" s="371">
        <v>200</v>
      </c>
      <c r="C463" s="369" t="s">
        <v>1188</v>
      </c>
      <c r="D463" s="385">
        <v>1148100</v>
      </c>
      <c r="E463" s="380">
        <v>1145753</v>
      </c>
      <c r="F463" s="386">
        <v>2347</v>
      </c>
      <c r="G463" s="71" t="str">
        <f t="shared" si="8"/>
        <v>321</v>
      </c>
    </row>
    <row r="464" spans="1:7" s="72" customFormat="1" ht="45">
      <c r="A464" s="373" t="s">
        <v>7</v>
      </c>
      <c r="B464" s="374">
        <v>200</v>
      </c>
      <c r="C464" s="372" t="s">
        <v>1189</v>
      </c>
      <c r="D464" s="382">
        <v>1699800</v>
      </c>
      <c r="E464" s="383">
        <v>1625343.5</v>
      </c>
      <c r="F464" s="384">
        <v>74456.5</v>
      </c>
      <c r="G464" s="71" t="str">
        <f t="shared" si="8"/>
        <v>000</v>
      </c>
    </row>
    <row r="465" spans="1:7" s="72" customFormat="1" ht="22.5">
      <c r="A465" s="373" t="s">
        <v>411</v>
      </c>
      <c r="B465" s="374">
        <v>200</v>
      </c>
      <c r="C465" s="372" t="s">
        <v>1190</v>
      </c>
      <c r="D465" s="382">
        <v>1699800</v>
      </c>
      <c r="E465" s="383">
        <v>1625343.5</v>
      </c>
      <c r="F465" s="384">
        <v>74456.5</v>
      </c>
      <c r="G465" s="71" t="str">
        <f t="shared" si="8"/>
        <v>200</v>
      </c>
    </row>
    <row r="466" spans="1:7" s="70" customFormat="1" ht="22.5">
      <c r="A466" s="373" t="s">
        <v>38</v>
      </c>
      <c r="B466" s="374">
        <v>200</v>
      </c>
      <c r="C466" s="372" t="s">
        <v>1191</v>
      </c>
      <c r="D466" s="382">
        <v>1699800</v>
      </c>
      <c r="E466" s="383">
        <v>1625343.5</v>
      </c>
      <c r="F466" s="384">
        <v>74456.5</v>
      </c>
      <c r="G466" s="71" t="str">
        <f t="shared" si="8"/>
        <v>240</v>
      </c>
    </row>
    <row r="467" spans="1:7" s="72" customFormat="1" ht="12.75">
      <c r="A467" s="370" t="s">
        <v>1658</v>
      </c>
      <c r="B467" s="371">
        <v>200</v>
      </c>
      <c r="C467" s="369" t="s">
        <v>1192</v>
      </c>
      <c r="D467" s="385">
        <v>1699800</v>
      </c>
      <c r="E467" s="380">
        <v>1625343.5</v>
      </c>
      <c r="F467" s="386">
        <v>74456.5</v>
      </c>
      <c r="G467" s="71" t="str">
        <f t="shared" si="8"/>
        <v>244</v>
      </c>
    </row>
    <row r="468" spans="1:7" s="72" customFormat="1" ht="33.75">
      <c r="A468" s="373" t="s">
        <v>2022</v>
      </c>
      <c r="B468" s="374">
        <v>200</v>
      </c>
      <c r="C468" s="372" t="s">
        <v>2023</v>
      </c>
      <c r="D468" s="382">
        <v>320</v>
      </c>
      <c r="E468" s="383">
        <v>0</v>
      </c>
      <c r="F468" s="384">
        <v>320</v>
      </c>
      <c r="G468" s="71" t="str">
        <f t="shared" si="8"/>
        <v>000</v>
      </c>
    </row>
    <row r="469" spans="1:7" s="70" customFormat="1" ht="67.5">
      <c r="A469" s="377" t="s">
        <v>2024</v>
      </c>
      <c r="B469" s="374">
        <v>200</v>
      </c>
      <c r="C469" s="372" t="s">
        <v>2025</v>
      </c>
      <c r="D469" s="382">
        <v>320</v>
      </c>
      <c r="E469" s="383">
        <v>0</v>
      </c>
      <c r="F469" s="384">
        <v>320</v>
      </c>
      <c r="G469" s="71" t="str">
        <f t="shared" si="8"/>
        <v>000</v>
      </c>
    </row>
    <row r="470" spans="1:7" s="72" customFormat="1" ht="12.75">
      <c r="A470" s="373" t="s">
        <v>43</v>
      </c>
      <c r="B470" s="374">
        <v>200</v>
      </c>
      <c r="C470" s="372" t="s">
        <v>2026</v>
      </c>
      <c r="D470" s="382">
        <v>320</v>
      </c>
      <c r="E470" s="383">
        <v>0</v>
      </c>
      <c r="F470" s="384">
        <v>320</v>
      </c>
      <c r="G470" s="71" t="str">
        <f t="shared" si="8"/>
        <v>300</v>
      </c>
    </row>
    <row r="471" spans="1:7" s="72" customFormat="1" ht="22.5">
      <c r="A471" s="373" t="s">
        <v>44</v>
      </c>
      <c r="B471" s="374">
        <v>200</v>
      </c>
      <c r="C471" s="372" t="s">
        <v>2027</v>
      </c>
      <c r="D471" s="382">
        <v>320</v>
      </c>
      <c r="E471" s="383">
        <v>0</v>
      </c>
      <c r="F471" s="384">
        <v>320</v>
      </c>
      <c r="G471" s="71" t="str">
        <f t="shared" si="8"/>
        <v>320</v>
      </c>
    </row>
    <row r="472" spans="1:7" s="72" customFormat="1" ht="12.75">
      <c r="A472" s="370" t="s">
        <v>259</v>
      </c>
      <c r="B472" s="371">
        <v>200</v>
      </c>
      <c r="C472" s="369" t="s">
        <v>2028</v>
      </c>
      <c r="D472" s="385">
        <v>320</v>
      </c>
      <c r="E472" s="380">
        <v>0</v>
      </c>
      <c r="F472" s="386">
        <v>320</v>
      </c>
      <c r="G472" s="71" t="str">
        <f t="shared" si="8"/>
        <v>322</v>
      </c>
    </row>
    <row r="473" spans="1:7" s="72" customFormat="1" ht="12.75">
      <c r="A473" s="373" t="s">
        <v>243</v>
      </c>
      <c r="B473" s="374">
        <v>200</v>
      </c>
      <c r="C473" s="372" t="s">
        <v>2105</v>
      </c>
      <c r="D473" s="382">
        <v>3261050.56</v>
      </c>
      <c r="E473" s="383">
        <v>3261050.56</v>
      </c>
      <c r="F473" s="384">
        <v>0</v>
      </c>
      <c r="G473" s="71" t="str">
        <f t="shared" si="8"/>
        <v>000</v>
      </c>
    </row>
    <row r="474" spans="1:7" s="72" customFormat="1" ht="22.5">
      <c r="A474" s="373" t="s">
        <v>2091</v>
      </c>
      <c r="B474" s="374">
        <v>200</v>
      </c>
      <c r="C474" s="372" t="s">
        <v>2106</v>
      </c>
      <c r="D474" s="382">
        <v>3261050.56</v>
      </c>
      <c r="E474" s="383">
        <v>3261050.56</v>
      </c>
      <c r="F474" s="384">
        <v>0</v>
      </c>
      <c r="G474" s="71" t="str">
        <f t="shared" si="8"/>
        <v>000</v>
      </c>
    </row>
    <row r="475" spans="1:7" s="72" customFormat="1" ht="12.75">
      <c r="A475" s="373" t="s">
        <v>43</v>
      </c>
      <c r="B475" s="374">
        <v>200</v>
      </c>
      <c r="C475" s="372" t="s">
        <v>2107</v>
      </c>
      <c r="D475" s="382">
        <v>3261050.56</v>
      </c>
      <c r="E475" s="383">
        <v>3261050.56</v>
      </c>
      <c r="F475" s="384">
        <v>0</v>
      </c>
      <c r="G475" s="71" t="str">
        <f t="shared" si="8"/>
        <v>300</v>
      </c>
    </row>
    <row r="476" spans="1:7" s="72" customFormat="1" ht="22.5">
      <c r="A476" s="373" t="s">
        <v>44</v>
      </c>
      <c r="B476" s="374">
        <v>200</v>
      </c>
      <c r="C476" s="372" t="s">
        <v>2108</v>
      </c>
      <c r="D476" s="382">
        <v>3261050.56</v>
      </c>
      <c r="E476" s="383">
        <v>3261050.56</v>
      </c>
      <c r="F476" s="384">
        <v>0</v>
      </c>
      <c r="G476" s="71" t="str">
        <f t="shared" si="8"/>
        <v>320</v>
      </c>
    </row>
    <row r="477" spans="1:7" s="72" customFormat="1" ht="12.75">
      <c r="A477" s="370" t="s">
        <v>259</v>
      </c>
      <c r="B477" s="371">
        <v>200</v>
      </c>
      <c r="C477" s="369" t="s">
        <v>2109</v>
      </c>
      <c r="D477" s="385">
        <v>3261050.56</v>
      </c>
      <c r="E477" s="380">
        <v>3261050.56</v>
      </c>
      <c r="F477" s="386">
        <v>0</v>
      </c>
      <c r="G477" s="71" t="str">
        <f t="shared" si="8"/>
        <v>322</v>
      </c>
    </row>
    <row r="478" spans="1:7" s="72" customFormat="1" ht="12.75">
      <c r="A478" s="373" t="s">
        <v>95</v>
      </c>
      <c r="B478" s="374">
        <v>200</v>
      </c>
      <c r="C478" s="372" t="s">
        <v>391</v>
      </c>
      <c r="D478" s="382">
        <v>79875313.51</v>
      </c>
      <c r="E478" s="383">
        <v>79874800.51</v>
      </c>
      <c r="F478" s="384">
        <v>513</v>
      </c>
      <c r="G478" s="71" t="str">
        <f t="shared" si="8"/>
        <v>000</v>
      </c>
    </row>
    <row r="479" spans="1:7" s="70" customFormat="1" ht="12.75">
      <c r="A479" s="373" t="s">
        <v>11</v>
      </c>
      <c r="B479" s="374">
        <v>200</v>
      </c>
      <c r="C479" s="372" t="s">
        <v>392</v>
      </c>
      <c r="D479" s="382">
        <v>65576373.13</v>
      </c>
      <c r="E479" s="383">
        <v>65576373.13</v>
      </c>
      <c r="F479" s="384">
        <v>0</v>
      </c>
      <c r="G479" s="71" t="str">
        <f t="shared" si="8"/>
        <v>000</v>
      </c>
    </row>
    <row r="480" spans="1:7" s="72" customFormat="1" ht="33.75">
      <c r="A480" s="373" t="s">
        <v>1409</v>
      </c>
      <c r="B480" s="374">
        <v>200</v>
      </c>
      <c r="C480" s="372" t="s">
        <v>393</v>
      </c>
      <c r="D480" s="382">
        <v>62997394.13</v>
      </c>
      <c r="E480" s="383">
        <v>62997394.13</v>
      </c>
      <c r="F480" s="384">
        <v>0</v>
      </c>
      <c r="G480" s="71" t="str">
        <f t="shared" si="8"/>
        <v>000</v>
      </c>
    </row>
    <row r="481" spans="1:7" s="72" customFormat="1" ht="22.5">
      <c r="A481" s="373" t="s">
        <v>451</v>
      </c>
      <c r="B481" s="374">
        <v>200</v>
      </c>
      <c r="C481" s="372" t="s">
        <v>394</v>
      </c>
      <c r="D481" s="382">
        <v>61647155.93</v>
      </c>
      <c r="E481" s="383">
        <v>61647155.93</v>
      </c>
      <c r="F481" s="384">
        <v>0</v>
      </c>
      <c r="G481" s="71" t="str">
        <f t="shared" si="8"/>
        <v>000</v>
      </c>
    </row>
    <row r="482" spans="1:7" s="70" customFormat="1" ht="22.5">
      <c r="A482" s="373" t="s">
        <v>46</v>
      </c>
      <c r="B482" s="374">
        <v>200</v>
      </c>
      <c r="C482" s="372" t="s">
        <v>395</v>
      </c>
      <c r="D482" s="382">
        <v>61647155.93</v>
      </c>
      <c r="E482" s="383">
        <v>61647155.93</v>
      </c>
      <c r="F482" s="384">
        <v>0</v>
      </c>
      <c r="G482" s="71" t="str">
        <f t="shared" si="8"/>
        <v>600</v>
      </c>
    </row>
    <row r="483" spans="1:7" s="70" customFormat="1" ht="12.75">
      <c r="A483" s="373" t="s">
        <v>47</v>
      </c>
      <c r="B483" s="374">
        <v>200</v>
      </c>
      <c r="C483" s="372" t="s">
        <v>396</v>
      </c>
      <c r="D483" s="382">
        <v>61647155.93</v>
      </c>
      <c r="E483" s="383">
        <v>61647155.93</v>
      </c>
      <c r="F483" s="384">
        <v>0</v>
      </c>
      <c r="G483" s="71" t="str">
        <f t="shared" si="8"/>
        <v>620</v>
      </c>
    </row>
    <row r="484" spans="1:7" s="72" customFormat="1" ht="33.75">
      <c r="A484" s="370" t="s">
        <v>452</v>
      </c>
      <c r="B484" s="371">
        <v>200</v>
      </c>
      <c r="C484" s="369" t="s">
        <v>397</v>
      </c>
      <c r="D484" s="385">
        <v>56783305.93</v>
      </c>
      <c r="E484" s="380">
        <v>56783305.93</v>
      </c>
      <c r="F484" s="386">
        <v>0</v>
      </c>
      <c r="G484" s="71" t="str">
        <f t="shared" si="8"/>
        <v>621</v>
      </c>
    </row>
    <row r="485" spans="1:7" s="72" customFormat="1" ht="12.75">
      <c r="A485" s="370" t="s">
        <v>35</v>
      </c>
      <c r="B485" s="371">
        <v>200</v>
      </c>
      <c r="C485" s="369" t="s">
        <v>1712</v>
      </c>
      <c r="D485" s="385">
        <v>4863850</v>
      </c>
      <c r="E485" s="380">
        <v>4863850</v>
      </c>
      <c r="F485" s="386">
        <v>0</v>
      </c>
      <c r="G485" s="71" t="str">
        <f t="shared" si="8"/>
        <v>622</v>
      </c>
    </row>
    <row r="486" spans="1:7" s="70" customFormat="1" ht="12.75">
      <c r="A486" s="373" t="s">
        <v>107</v>
      </c>
      <c r="B486" s="374">
        <v>200</v>
      </c>
      <c r="C486" s="372" t="s">
        <v>398</v>
      </c>
      <c r="D486" s="382">
        <v>830238.2</v>
      </c>
      <c r="E486" s="383">
        <v>830238.2</v>
      </c>
      <c r="F486" s="384">
        <v>0</v>
      </c>
      <c r="G486" s="71" t="str">
        <f t="shared" si="8"/>
        <v>000</v>
      </c>
    </row>
    <row r="487" spans="1:7" s="72" customFormat="1" ht="22.5">
      <c r="A487" s="373" t="s">
        <v>411</v>
      </c>
      <c r="B487" s="374">
        <v>200</v>
      </c>
      <c r="C487" s="372" t="s">
        <v>399</v>
      </c>
      <c r="D487" s="382">
        <v>830238.2</v>
      </c>
      <c r="E487" s="383">
        <v>830238.2</v>
      </c>
      <c r="F487" s="384">
        <v>0</v>
      </c>
      <c r="G487" s="71" t="str">
        <f t="shared" si="8"/>
        <v>200</v>
      </c>
    </row>
    <row r="488" spans="1:7" s="70" customFormat="1" ht="22.5">
      <c r="A488" s="373" t="s">
        <v>38</v>
      </c>
      <c r="B488" s="374">
        <v>200</v>
      </c>
      <c r="C488" s="372" t="s">
        <v>400</v>
      </c>
      <c r="D488" s="382">
        <v>830238.2</v>
      </c>
      <c r="E488" s="383">
        <v>830238.2</v>
      </c>
      <c r="F488" s="384">
        <v>0</v>
      </c>
      <c r="G488" s="71" t="str">
        <f t="shared" si="8"/>
        <v>240</v>
      </c>
    </row>
    <row r="489" spans="1:7" s="72" customFormat="1" ht="12.75">
      <c r="A489" s="370" t="s">
        <v>1658</v>
      </c>
      <c r="B489" s="371">
        <v>200</v>
      </c>
      <c r="C489" s="369" t="s">
        <v>154</v>
      </c>
      <c r="D489" s="385">
        <v>830238.2</v>
      </c>
      <c r="E489" s="380">
        <v>830238.2</v>
      </c>
      <c r="F489" s="386">
        <v>0</v>
      </c>
      <c r="G489" s="71" t="str">
        <f t="shared" si="8"/>
        <v>244</v>
      </c>
    </row>
    <row r="490" spans="1:7" s="70" customFormat="1" ht="22.5">
      <c r="A490" s="373" t="s">
        <v>2182</v>
      </c>
      <c r="B490" s="374">
        <v>200</v>
      </c>
      <c r="C490" s="372" t="s">
        <v>2183</v>
      </c>
      <c r="D490" s="382">
        <v>520000</v>
      </c>
      <c r="E490" s="383">
        <v>520000</v>
      </c>
      <c r="F490" s="384">
        <v>0</v>
      </c>
      <c r="G490" s="71" t="str">
        <f t="shared" si="8"/>
        <v>000</v>
      </c>
    </row>
    <row r="491" spans="1:7" s="72" customFormat="1" ht="22.5">
      <c r="A491" s="373" t="s">
        <v>46</v>
      </c>
      <c r="B491" s="374">
        <v>200</v>
      </c>
      <c r="C491" s="372" t="s">
        <v>2184</v>
      </c>
      <c r="D491" s="382">
        <v>520000</v>
      </c>
      <c r="E491" s="383">
        <v>520000</v>
      </c>
      <c r="F491" s="384">
        <v>0</v>
      </c>
      <c r="G491" s="71" t="str">
        <f t="shared" si="8"/>
        <v>600</v>
      </c>
    </row>
    <row r="492" spans="1:7" s="72" customFormat="1" ht="12.75">
      <c r="A492" s="373" t="s">
        <v>47</v>
      </c>
      <c r="B492" s="374">
        <v>200</v>
      </c>
      <c r="C492" s="372" t="s">
        <v>2185</v>
      </c>
      <c r="D492" s="382">
        <v>520000</v>
      </c>
      <c r="E492" s="383">
        <v>520000</v>
      </c>
      <c r="F492" s="384">
        <v>0</v>
      </c>
      <c r="G492" s="71" t="str">
        <f t="shared" si="8"/>
        <v>620</v>
      </c>
    </row>
    <row r="493" spans="1:7" s="72" customFormat="1" ht="12.75">
      <c r="A493" s="370" t="s">
        <v>35</v>
      </c>
      <c r="B493" s="371">
        <v>200</v>
      </c>
      <c r="C493" s="369" t="s">
        <v>2186</v>
      </c>
      <c r="D493" s="385">
        <v>520000</v>
      </c>
      <c r="E493" s="380">
        <v>520000</v>
      </c>
      <c r="F493" s="386">
        <v>0</v>
      </c>
      <c r="G493" s="71" t="str">
        <f t="shared" si="8"/>
        <v>622</v>
      </c>
    </row>
    <row r="494" spans="1:7" s="72" customFormat="1" ht="12.75">
      <c r="A494" s="373" t="s">
        <v>243</v>
      </c>
      <c r="B494" s="374">
        <v>200</v>
      </c>
      <c r="C494" s="372" t="s">
        <v>1854</v>
      </c>
      <c r="D494" s="382">
        <v>2578979</v>
      </c>
      <c r="E494" s="383">
        <v>2578979</v>
      </c>
      <c r="F494" s="384">
        <v>0</v>
      </c>
      <c r="G494" s="71" t="str">
        <f t="shared" si="8"/>
        <v>000</v>
      </c>
    </row>
    <row r="495" spans="1:7" s="70" customFormat="1" ht="33.75">
      <c r="A495" s="373" t="s">
        <v>2092</v>
      </c>
      <c r="B495" s="374">
        <v>200</v>
      </c>
      <c r="C495" s="372" t="s">
        <v>2110</v>
      </c>
      <c r="D495" s="382">
        <v>961031</v>
      </c>
      <c r="E495" s="383">
        <v>961031</v>
      </c>
      <c r="F495" s="384">
        <v>0</v>
      </c>
      <c r="G495" s="71" t="str">
        <f t="shared" si="8"/>
        <v>000</v>
      </c>
    </row>
    <row r="496" spans="1:7" s="72" customFormat="1" ht="22.5">
      <c r="A496" s="373" t="s">
        <v>46</v>
      </c>
      <c r="B496" s="374">
        <v>200</v>
      </c>
      <c r="C496" s="372" t="s">
        <v>2111</v>
      </c>
      <c r="D496" s="382">
        <v>961031</v>
      </c>
      <c r="E496" s="383">
        <v>961031</v>
      </c>
      <c r="F496" s="384">
        <v>0</v>
      </c>
      <c r="G496" s="71" t="str">
        <f t="shared" si="8"/>
        <v>600</v>
      </c>
    </row>
    <row r="497" spans="1:7" s="72" customFormat="1" ht="12.75">
      <c r="A497" s="373" t="s">
        <v>47</v>
      </c>
      <c r="B497" s="374">
        <v>200</v>
      </c>
      <c r="C497" s="372" t="s">
        <v>2112</v>
      </c>
      <c r="D497" s="382">
        <v>961031</v>
      </c>
      <c r="E497" s="383">
        <v>961031</v>
      </c>
      <c r="F497" s="384">
        <v>0</v>
      </c>
      <c r="G497" s="71" t="str">
        <f t="shared" si="8"/>
        <v>620</v>
      </c>
    </row>
    <row r="498" spans="1:7" s="70" customFormat="1" ht="33.75">
      <c r="A498" s="370" t="s">
        <v>452</v>
      </c>
      <c r="B498" s="371">
        <v>200</v>
      </c>
      <c r="C498" s="369" t="s">
        <v>2113</v>
      </c>
      <c r="D498" s="385">
        <v>961031</v>
      </c>
      <c r="E498" s="380">
        <v>961031</v>
      </c>
      <c r="F498" s="386">
        <v>0</v>
      </c>
      <c r="G498" s="71" t="str">
        <f t="shared" si="8"/>
        <v>621</v>
      </c>
    </row>
    <row r="499" spans="1:7" s="72" customFormat="1" ht="22.5">
      <c r="A499" s="373" t="s">
        <v>1811</v>
      </c>
      <c r="B499" s="374">
        <v>200</v>
      </c>
      <c r="C499" s="372" t="s">
        <v>1855</v>
      </c>
      <c r="D499" s="382">
        <v>1617948</v>
      </c>
      <c r="E499" s="383">
        <v>1617948</v>
      </c>
      <c r="F499" s="384">
        <v>0</v>
      </c>
      <c r="G499" s="71" t="str">
        <f t="shared" si="8"/>
        <v>000</v>
      </c>
    </row>
    <row r="500" spans="1:7" s="72" customFormat="1" ht="22.5">
      <c r="A500" s="373" t="s">
        <v>46</v>
      </c>
      <c r="B500" s="374">
        <v>200</v>
      </c>
      <c r="C500" s="372" t="s">
        <v>1856</v>
      </c>
      <c r="D500" s="382">
        <v>1617948</v>
      </c>
      <c r="E500" s="383">
        <v>1617948</v>
      </c>
      <c r="F500" s="384">
        <v>0</v>
      </c>
      <c r="G500" s="71" t="str">
        <f t="shared" si="8"/>
        <v>600</v>
      </c>
    </row>
    <row r="501" spans="1:7" s="72" customFormat="1" ht="12.75">
      <c r="A501" s="373" t="s">
        <v>47</v>
      </c>
      <c r="B501" s="374">
        <v>200</v>
      </c>
      <c r="C501" s="372" t="s">
        <v>1857</v>
      </c>
      <c r="D501" s="382">
        <v>1617948</v>
      </c>
      <c r="E501" s="383">
        <v>1617948</v>
      </c>
      <c r="F501" s="384">
        <v>0</v>
      </c>
      <c r="G501" s="71" t="str">
        <f t="shared" si="8"/>
        <v>620</v>
      </c>
    </row>
    <row r="502" spans="1:7" s="72" customFormat="1" ht="33.75">
      <c r="A502" s="370" t="s">
        <v>452</v>
      </c>
      <c r="B502" s="371">
        <v>200</v>
      </c>
      <c r="C502" s="369" t="s">
        <v>1858</v>
      </c>
      <c r="D502" s="385">
        <v>1617948</v>
      </c>
      <c r="E502" s="380">
        <v>1617948</v>
      </c>
      <c r="F502" s="386">
        <v>0</v>
      </c>
      <c r="G502" s="71" t="str">
        <f t="shared" si="8"/>
        <v>621</v>
      </c>
    </row>
    <row r="503" spans="1:7" s="72" customFormat="1" ht="12.75">
      <c r="A503" s="373" t="s">
        <v>1453</v>
      </c>
      <c r="B503" s="374">
        <v>200</v>
      </c>
      <c r="C503" s="372" t="s">
        <v>1456</v>
      </c>
      <c r="D503" s="382">
        <v>6376811.8</v>
      </c>
      <c r="E503" s="383">
        <v>6376811.8</v>
      </c>
      <c r="F503" s="384">
        <v>0</v>
      </c>
      <c r="G503" s="71" t="str">
        <f t="shared" si="8"/>
        <v>000</v>
      </c>
    </row>
    <row r="504" spans="1:7" s="72" customFormat="1" ht="33.75">
      <c r="A504" s="373" t="s">
        <v>1409</v>
      </c>
      <c r="B504" s="374">
        <v>200</v>
      </c>
      <c r="C504" s="372" t="s">
        <v>1457</v>
      </c>
      <c r="D504" s="382">
        <v>6376811.8</v>
      </c>
      <c r="E504" s="383">
        <v>6376811.8</v>
      </c>
      <c r="F504" s="384">
        <v>0</v>
      </c>
      <c r="G504" s="71" t="str">
        <f t="shared" si="8"/>
        <v>000</v>
      </c>
    </row>
    <row r="505" spans="1:7" s="72" customFormat="1" ht="12.75">
      <c r="A505" s="373" t="s">
        <v>107</v>
      </c>
      <c r="B505" s="374">
        <v>200</v>
      </c>
      <c r="C505" s="372" t="s">
        <v>1458</v>
      </c>
      <c r="D505" s="382">
        <v>6376811.8</v>
      </c>
      <c r="E505" s="383">
        <v>6376811.8</v>
      </c>
      <c r="F505" s="384">
        <v>0</v>
      </c>
      <c r="G505" s="71" t="str">
        <f t="shared" si="8"/>
        <v>000</v>
      </c>
    </row>
    <row r="506" spans="1:7" s="72" customFormat="1" ht="22.5">
      <c r="A506" s="373" t="s">
        <v>411</v>
      </c>
      <c r="B506" s="374">
        <v>200</v>
      </c>
      <c r="C506" s="372" t="s">
        <v>1459</v>
      </c>
      <c r="D506" s="382">
        <v>6376811.8</v>
      </c>
      <c r="E506" s="383">
        <v>6376811.8</v>
      </c>
      <c r="F506" s="384">
        <v>0</v>
      </c>
      <c r="G506" s="71" t="str">
        <f t="shared" si="8"/>
        <v>200</v>
      </c>
    </row>
    <row r="507" spans="1:7" s="72" customFormat="1" ht="22.5">
      <c r="A507" s="373" t="s">
        <v>38</v>
      </c>
      <c r="B507" s="374">
        <v>200</v>
      </c>
      <c r="C507" s="372" t="s">
        <v>1460</v>
      </c>
      <c r="D507" s="382">
        <v>6376811.8</v>
      </c>
      <c r="E507" s="383">
        <v>6376811.8</v>
      </c>
      <c r="F507" s="384">
        <v>0</v>
      </c>
      <c r="G507" s="71" t="str">
        <f t="shared" si="8"/>
        <v>240</v>
      </c>
    </row>
    <row r="508" spans="1:7" s="72" customFormat="1" ht="12.75">
      <c r="A508" s="370" t="s">
        <v>1658</v>
      </c>
      <c r="B508" s="371">
        <v>200</v>
      </c>
      <c r="C508" s="369" t="s">
        <v>1461</v>
      </c>
      <c r="D508" s="385">
        <v>6376811.8</v>
      </c>
      <c r="E508" s="380">
        <v>6376811.8</v>
      </c>
      <c r="F508" s="386">
        <v>0</v>
      </c>
      <c r="G508" s="71" t="str">
        <f t="shared" si="8"/>
        <v>244</v>
      </c>
    </row>
    <row r="509" spans="1:7" s="72" customFormat="1" ht="12.75">
      <c r="A509" s="373" t="s">
        <v>1433</v>
      </c>
      <c r="B509" s="374">
        <v>200</v>
      </c>
      <c r="C509" s="372" t="s">
        <v>1434</v>
      </c>
      <c r="D509" s="382">
        <v>7922128.58</v>
      </c>
      <c r="E509" s="383">
        <v>7921615.58</v>
      </c>
      <c r="F509" s="384">
        <v>513</v>
      </c>
      <c r="G509" s="71" t="str">
        <f t="shared" si="8"/>
        <v>000</v>
      </c>
    </row>
    <row r="510" spans="1:7" s="70" customFormat="1" ht="12.75">
      <c r="A510" s="373" t="s">
        <v>243</v>
      </c>
      <c r="B510" s="374">
        <v>200</v>
      </c>
      <c r="C510" s="372" t="s">
        <v>1435</v>
      </c>
      <c r="D510" s="382">
        <v>7922128.58</v>
      </c>
      <c r="E510" s="383">
        <v>7921615.58</v>
      </c>
      <c r="F510" s="384">
        <v>513</v>
      </c>
      <c r="G510" s="71" t="str">
        <f t="shared" si="8"/>
        <v>000</v>
      </c>
    </row>
    <row r="511" spans="1:7" s="72" customFormat="1" ht="12.75">
      <c r="A511" s="373" t="s">
        <v>1299</v>
      </c>
      <c r="B511" s="374">
        <v>200</v>
      </c>
      <c r="C511" s="372" t="s">
        <v>1436</v>
      </c>
      <c r="D511" s="382">
        <v>6618706.46</v>
      </c>
      <c r="E511" s="383">
        <v>6618193.46</v>
      </c>
      <c r="F511" s="384">
        <v>513</v>
      </c>
      <c r="G511" s="71" t="str">
        <f t="shared" si="8"/>
        <v>000</v>
      </c>
    </row>
    <row r="512" spans="1:7" s="70" customFormat="1" ht="33.75">
      <c r="A512" s="373" t="s">
        <v>36</v>
      </c>
      <c r="B512" s="374">
        <v>200</v>
      </c>
      <c r="C512" s="372" t="s">
        <v>1437</v>
      </c>
      <c r="D512" s="382">
        <v>6618706.46</v>
      </c>
      <c r="E512" s="383">
        <v>6618193.46</v>
      </c>
      <c r="F512" s="384">
        <v>513</v>
      </c>
      <c r="G512" s="71" t="str">
        <f t="shared" si="8"/>
        <v>100</v>
      </c>
    </row>
    <row r="513" spans="1:7" s="72" customFormat="1" ht="12.75">
      <c r="A513" s="373" t="s">
        <v>37</v>
      </c>
      <c r="B513" s="374">
        <v>200</v>
      </c>
      <c r="C513" s="372" t="s">
        <v>1438</v>
      </c>
      <c r="D513" s="382">
        <v>6618706.46</v>
      </c>
      <c r="E513" s="383">
        <v>6618193.46</v>
      </c>
      <c r="F513" s="384">
        <v>513</v>
      </c>
      <c r="G513" s="71" t="str">
        <f t="shared" si="8"/>
        <v>120</v>
      </c>
    </row>
    <row r="514" spans="1:7" s="72" customFormat="1" ht="12.75">
      <c r="A514" s="370" t="s">
        <v>1317</v>
      </c>
      <c r="B514" s="371">
        <v>200</v>
      </c>
      <c r="C514" s="369" t="s">
        <v>1439</v>
      </c>
      <c r="D514" s="385">
        <v>4836379.94</v>
      </c>
      <c r="E514" s="380">
        <v>4836379.94</v>
      </c>
      <c r="F514" s="386">
        <v>0</v>
      </c>
      <c r="G514" s="71" t="str">
        <f t="shared" si="8"/>
        <v>121</v>
      </c>
    </row>
    <row r="515" spans="1:7" s="72" customFormat="1" ht="22.5">
      <c r="A515" s="370" t="s">
        <v>244</v>
      </c>
      <c r="B515" s="371">
        <v>200</v>
      </c>
      <c r="C515" s="369" t="s">
        <v>1440</v>
      </c>
      <c r="D515" s="385">
        <v>386854.26</v>
      </c>
      <c r="E515" s="380">
        <v>386341.26</v>
      </c>
      <c r="F515" s="386">
        <v>513</v>
      </c>
      <c r="G515" s="71" t="str">
        <f t="shared" si="8"/>
        <v>122</v>
      </c>
    </row>
    <row r="516" spans="1:7" s="70" customFormat="1" ht="33.75">
      <c r="A516" s="370" t="s">
        <v>1318</v>
      </c>
      <c r="B516" s="371">
        <v>200</v>
      </c>
      <c r="C516" s="369" t="s">
        <v>1441</v>
      </c>
      <c r="D516" s="385">
        <v>1395472.26</v>
      </c>
      <c r="E516" s="380">
        <v>1395472.26</v>
      </c>
      <c r="F516" s="386">
        <v>0</v>
      </c>
      <c r="G516" s="71" t="str">
        <f t="shared" si="8"/>
        <v>129</v>
      </c>
    </row>
    <row r="517" spans="1:7" s="72" customFormat="1" ht="45">
      <c r="A517" s="377" t="s">
        <v>1593</v>
      </c>
      <c r="B517" s="374">
        <v>200</v>
      </c>
      <c r="C517" s="372" t="s">
        <v>1442</v>
      </c>
      <c r="D517" s="382">
        <v>627937.33</v>
      </c>
      <c r="E517" s="383">
        <v>627937.33</v>
      </c>
      <c r="F517" s="384">
        <v>0</v>
      </c>
      <c r="G517" s="71" t="str">
        <f t="shared" si="8"/>
        <v>000</v>
      </c>
    </row>
    <row r="518" spans="1:7" s="70" customFormat="1" ht="33.75">
      <c r="A518" s="373" t="s">
        <v>36</v>
      </c>
      <c r="B518" s="374">
        <v>200</v>
      </c>
      <c r="C518" s="372" t="s">
        <v>1443</v>
      </c>
      <c r="D518" s="382">
        <v>627937.33</v>
      </c>
      <c r="E518" s="383">
        <v>627937.33</v>
      </c>
      <c r="F518" s="384">
        <v>0</v>
      </c>
      <c r="G518" s="71" t="str">
        <f t="shared" si="8"/>
        <v>100</v>
      </c>
    </row>
    <row r="519" spans="1:7" s="72" customFormat="1" ht="12.75">
      <c r="A519" s="373" t="s">
        <v>37</v>
      </c>
      <c r="B519" s="374">
        <v>200</v>
      </c>
      <c r="C519" s="372" t="s">
        <v>1444</v>
      </c>
      <c r="D519" s="382">
        <v>627937.33</v>
      </c>
      <c r="E519" s="383">
        <v>627937.33</v>
      </c>
      <c r="F519" s="384">
        <v>0</v>
      </c>
      <c r="G519" s="71" t="str">
        <f t="shared" si="8"/>
        <v>120</v>
      </c>
    </row>
    <row r="520" spans="1:7" s="72" customFormat="1" ht="12.75">
      <c r="A520" s="370" t="s">
        <v>1317</v>
      </c>
      <c r="B520" s="371">
        <v>200</v>
      </c>
      <c r="C520" s="369" t="s">
        <v>1445</v>
      </c>
      <c r="D520" s="385">
        <v>486499.89</v>
      </c>
      <c r="E520" s="380">
        <v>486499.89</v>
      </c>
      <c r="F520" s="386">
        <v>0</v>
      </c>
      <c r="G520" s="71" t="str">
        <f t="shared" si="8"/>
        <v>121</v>
      </c>
    </row>
    <row r="521" spans="1:7" s="72" customFormat="1" ht="33.75">
      <c r="A521" s="370" t="s">
        <v>1318</v>
      </c>
      <c r="B521" s="371">
        <v>200</v>
      </c>
      <c r="C521" s="369" t="s">
        <v>1446</v>
      </c>
      <c r="D521" s="385">
        <v>141437.44</v>
      </c>
      <c r="E521" s="380">
        <v>141437.44</v>
      </c>
      <c r="F521" s="386">
        <v>0</v>
      </c>
      <c r="G521" s="71" t="str">
        <f t="shared" si="8"/>
        <v>129</v>
      </c>
    </row>
    <row r="522" spans="1:7" s="70" customFormat="1" ht="33.75">
      <c r="A522" s="373" t="s">
        <v>2254</v>
      </c>
      <c r="B522" s="374">
        <v>200</v>
      </c>
      <c r="C522" s="372" t="s">
        <v>2283</v>
      </c>
      <c r="D522" s="382">
        <v>427728.79</v>
      </c>
      <c r="E522" s="383">
        <v>427728.79</v>
      </c>
      <c r="F522" s="384">
        <v>0</v>
      </c>
      <c r="G522" s="71" t="str">
        <f t="shared" si="8"/>
        <v>000</v>
      </c>
    </row>
    <row r="523" spans="1:7" s="72" customFormat="1" ht="33.75">
      <c r="A523" s="373" t="s">
        <v>36</v>
      </c>
      <c r="B523" s="374">
        <v>200</v>
      </c>
      <c r="C523" s="372" t="s">
        <v>2284</v>
      </c>
      <c r="D523" s="382">
        <v>427728.79</v>
      </c>
      <c r="E523" s="383">
        <v>427728.79</v>
      </c>
      <c r="F523" s="384">
        <v>0</v>
      </c>
      <c r="G523" s="71" t="str">
        <f t="shared" si="8"/>
        <v>100</v>
      </c>
    </row>
    <row r="524" spans="1:7" s="72" customFormat="1" ht="12.75">
      <c r="A524" s="373" t="s">
        <v>37</v>
      </c>
      <c r="B524" s="374">
        <v>200</v>
      </c>
      <c r="C524" s="372" t="s">
        <v>2285</v>
      </c>
      <c r="D524" s="382">
        <v>427728.79</v>
      </c>
      <c r="E524" s="383">
        <v>427728.79</v>
      </c>
      <c r="F524" s="384">
        <v>0</v>
      </c>
      <c r="G524" s="71" t="str">
        <f t="shared" si="8"/>
        <v>120</v>
      </c>
    </row>
    <row r="525" spans="1:7" s="72" customFormat="1" ht="12.75">
      <c r="A525" s="370" t="s">
        <v>1317</v>
      </c>
      <c r="B525" s="371">
        <v>200</v>
      </c>
      <c r="C525" s="369" t="s">
        <v>2286</v>
      </c>
      <c r="D525" s="385">
        <v>342621.94</v>
      </c>
      <c r="E525" s="380">
        <v>342621.94</v>
      </c>
      <c r="F525" s="386">
        <v>0</v>
      </c>
      <c r="G525" s="71" t="str">
        <f t="shared" si="8"/>
        <v>121</v>
      </c>
    </row>
    <row r="526" spans="1:7" s="72" customFormat="1" ht="33.75">
      <c r="A526" s="370" t="s">
        <v>1318</v>
      </c>
      <c r="B526" s="371">
        <v>200</v>
      </c>
      <c r="C526" s="369" t="s">
        <v>2287</v>
      </c>
      <c r="D526" s="385">
        <v>85106.85</v>
      </c>
      <c r="E526" s="380">
        <v>85106.85</v>
      </c>
      <c r="F526" s="386">
        <v>0</v>
      </c>
      <c r="G526" s="71" t="str">
        <f aca="true" t="shared" si="9" ref="G526:G584">RIGHT(C526,3)</f>
        <v>129</v>
      </c>
    </row>
    <row r="527" spans="1:7" s="72" customFormat="1" ht="22.5">
      <c r="A527" s="373" t="s">
        <v>1811</v>
      </c>
      <c r="B527" s="374">
        <v>200</v>
      </c>
      <c r="C527" s="372" t="s">
        <v>1859</v>
      </c>
      <c r="D527" s="382">
        <v>247756</v>
      </c>
      <c r="E527" s="383">
        <v>247756</v>
      </c>
      <c r="F527" s="384">
        <v>0</v>
      </c>
      <c r="G527" s="71" t="str">
        <f t="shared" si="9"/>
        <v>000</v>
      </c>
    </row>
    <row r="528" spans="1:7" s="72" customFormat="1" ht="33.75">
      <c r="A528" s="373" t="s">
        <v>36</v>
      </c>
      <c r="B528" s="374">
        <v>200</v>
      </c>
      <c r="C528" s="372" t="s">
        <v>1860</v>
      </c>
      <c r="D528" s="382">
        <v>247756</v>
      </c>
      <c r="E528" s="383">
        <v>247756</v>
      </c>
      <c r="F528" s="384">
        <v>0</v>
      </c>
      <c r="G528" s="71" t="str">
        <f t="shared" si="9"/>
        <v>100</v>
      </c>
    </row>
    <row r="529" spans="1:7" s="72" customFormat="1" ht="12.75">
      <c r="A529" s="373" t="s">
        <v>37</v>
      </c>
      <c r="B529" s="374">
        <v>200</v>
      </c>
      <c r="C529" s="372" t="s">
        <v>1861</v>
      </c>
      <c r="D529" s="382">
        <v>247756</v>
      </c>
      <c r="E529" s="383">
        <v>247756</v>
      </c>
      <c r="F529" s="384">
        <v>0</v>
      </c>
      <c r="G529" s="71" t="str">
        <f t="shared" si="9"/>
        <v>120</v>
      </c>
    </row>
    <row r="530" spans="1:7" s="72" customFormat="1" ht="12.75">
      <c r="A530" s="370" t="s">
        <v>1317</v>
      </c>
      <c r="B530" s="371">
        <v>200</v>
      </c>
      <c r="C530" s="369" t="s">
        <v>1862</v>
      </c>
      <c r="D530" s="385">
        <v>190289</v>
      </c>
      <c r="E530" s="380">
        <v>190289</v>
      </c>
      <c r="F530" s="386">
        <v>0</v>
      </c>
      <c r="G530" s="71" t="str">
        <f t="shared" si="9"/>
        <v>121</v>
      </c>
    </row>
    <row r="531" spans="1:7" s="72" customFormat="1" ht="33.75">
      <c r="A531" s="370" t="s">
        <v>1318</v>
      </c>
      <c r="B531" s="371">
        <v>200</v>
      </c>
      <c r="C531" s="369" t="s">
        <v>1863</v>
      </c>
      <c r="D531" s="385">
        <v>57467</v>
      </c>
      <c r="E531" s="380">
        <v>57467</v>
      </c>
      <c r="F531" s="386">
        <v>0</v>
      </c>
      <c r="G531" s="71" t="str">
        <f t="shared" si="9"/>
        <v>129</v>
      </c>
    </row>
    <row r="532" spans="1:7" s="72" customFormat="1" ht="12.75">
      <c r="A532" s="373" t="s">
        <v>96</v>
      </c>
      <c r="B532" s="374">
        <v>200</v>
      </c>
      <c r="C532" s="372" t="s">
        <v>401</v>
      </c>
      <c r="D532" s="382">
        <v>16968299.97</v>
      </c>
      <c r="E532" s="383">
        <v>16964854.98</v>
      </c>
      <c r="F532" s="384">
        <v>3444.99</v>
      </c>
      <c r="G532" s="71" t="str">
        <f t="shared" si="9"/>
        <v>000</v>
      </c>
    </row>
    <row r="533" spans="1:7" s="70" customFormat="1" ht="12.75">
      <c r="A533" s="373" t="s">
        <v>640</v>
      </c>
      <c r="B533" s="374">
        <v>200</v>
      </c>
      <c r="C533" s="372" t="s">
        <v>402</v>
      </c>
      <c r="D533" s="382">
        <v>16968299.97</v>
      </c>
      <c r="E533" s="383">
        <v>16964854.98</v>
      </c>
      <c r="F533" s="384">
        <v>3444.99</v>
      </c>
      <c r="G533" s="71" t="str">
        <f t="shared" si="9"/>
        <v>000</v>
      </c>
    </row>
    <row r="534" spans="1:7" s="72" customFormat="1" ht="12.75">
      <c r="A534" s="373" t="s">
        <v>243</v>
      </c>
      <c r="B534" s="374">
        <v>200</v>
      </c>
      <c r="C534" s="372" t="s">
        <v>403</v>
      </c>
      <c r="D534" s="382">
        <v>16968299.97</v>
      </c>
      <c r="E534" s="383">
        <v>16964854.98</v>
      </c>
      <c r="F534" s="384">
        <v>3444.99</v>
      </c>
      <c r="G534" s="71" t="str">
        <f t="shared" si="9"/>
        <v>000</v>
      </c>
    </row>
    <row r="535" spans="1:7" s="72" customFormat="1" ht="45">
      <c r="A535" s="373" t="s">
        <v>1447</v>
      </c>
      <c r="B535" s="374">
        <v>200</v>
      </c>
      <c r="C535" s="372" t="s">
        <v>404</v>
      </c>
      <c r="D535" s="382">
        <v>16968299.97</v>
      </c>
      <c r="E535" s="383">
        <v>16964854.98</v>
      </c>
      <c r="F535" s="384">
        <v>3444.99</v>
      </c>
      <c r="G535" s="71" t="str">
        <f t="shared" si="9"/>
        <v>000</v>
      </c>
    </row>
    <row r="536" spans="1:7" s="70" customFormat="1" ht="12.75">
      <c r="A536" s="373" t="s">
        <v>39</v>
      </c>
      <c r="B536" s="374">
        <v>200</v>
      </c>
      <c r="C536" s="372" t="s">
        <v>405</v>
      </c>
      <c r="D536" s="382">
        <v>16968299.97</v>
      </c>
      <c r="E536" s="383">
        <v>16964854.98</v>
      </c>
      <c r="F536" s="384">
        <v>3444.99</v>
      </c>
      <c r="G536" s="71" t="str">
        <f t="shared" si="9"/>
        <v>800</v>
      </c>
    </row>
    <row r="537" spans="1:7" s="72" customFormat="1" ht="33.75">
      <c r="A537" s="373" t="s">
        <v>1046</v>
      </c>
      <c r="B537" s="374">
        <v>200</v>
      </c>
      <c r="C537" s="372" t="s">
        <v>266</v>
      </c>
      <c r="D537" s="382">
        <v>16968299.97</v>
      </c>
      <c r="E537" s="383">
        <v>16964854.98</v>
      </c>
      <c r="F537" s="384">
        <v>3444.99</v>
      </c>
      <c r="G537" s="71" t="str">
        <f t="shared" si="9"/>
        <v>810</v>
      </c>
    </row>
    <row r="538" spans="1:7" s="72" customFormat="1" ht="56.25">
      <c r="A538" s="378" t="s">
        <v>2187</v>
      </c>
      <c r="B538" s="371">
        <v>200</v>
      </c>
      <c r="C538" s="369" t="s">
        <v>2188</v>
      </c>
      <c r="D538" s="385">
        <v>16968299.97</v>
      </c>
      <c r="E538" s="380">
        <v>16964854.98</v>
      </c>
      <c r="F538" s="386">
        <v>3444.99</v>
      </c>
      <c r="G538" s="71" t="str">
        <f t="shared" si="9"/>
        <v>813</v>
      </c>
    </row>
    <row r="539" spans="1:7" s="70" customFormat="1" ht="22.5">
      <c r="A539" s="373" t="s">
        <v>267</v>
      </c>
      <c r="B539" s="374">
        <v>200</v>
      </c>
      <c r="C539" s="372" t="s">
        <v>268</v>
      </c>
      <c r="D539" s="382">
        <v>18981923.28</v>
      </c>
      <c r="E539" s="383">
        <v>18961677.3</v>
      </c>
      <c r="F539" s="384">
        <v>20245.98</v>
      </c>
      <c r="G539" s="71" t="str">
        <f t="shared" si="9"/>
        <v>000</v>
      </c>
    </row>
    <row r="540" spans="1:7" s="72" customFormat="1" ht="12.75">
      <c r="A540" s="373" t="s">
        <v>94</v>
      </c>
      <c r="B540" s="374">
        <v>200</v>
      </c>
      <c r="C540" s="372" t="s">
        <v>269</v>
      </c>
      <c r="D540" s="382">
        <v>18981923.28</v>
      </c>
      <c r="E540" s="383">
        <v>18961677.3</v>
      </c>
      <c r="F540" s="384">
        <v>20245.98</v>
      </c>
      <c r="G540" s="71" t="str">
        <f t="shared" si="9"/>
        <v>000</v>
      </c>
    </row>
    <row r="541" spans="1:7" s="72" customFormat="1" ht="12.75">
      <c r="A541" s="373" t="s">
        <v>641</v>
      </c>
      <c r="B541" s="374">
        <v>200</v>
      </c>
      <c r="C541" s="372" t="s">
        <v>270</v>
      </c>
      <c r="D541" s="382">
        <v>18981923.28</v>
      </c>
      <c r="E541" s="383">
        <v>18961677.3</v>
      </c>
      <c r="F541" s="384">
        <v>20245.98</v>
      </c>
      <c r="G541" s="71" t="str">
        <f t="shared" si="9"/>
        <v>000</v>
      </c>
    </row>
    <row r="542" spans="1:7" s="72" customFormat="1" ht="12.75">
      <c r="A542" s="373" t="s">
        <v>243</v>
      </c>
      <c r="B542" s="374">
        <v>200</v>
      </c>
      <c r="C542" s="372" t="s">
        <v>271</v>
      </c>
      <c r="D542" s="382">
        <v>18981923.28</v>
      </c>
      <c r="E542" s="383">
        <v>18961677.3</v>
      </c>
      <c r="F542" s="384">
        <v>20245.98</v>
      </c>
      <c r="G542" s="71" t="str">
        <f t="shared" si="9"/>
        <v>000</v>
      </c>
    </row>
    <row r="543" spans="1:7" s="70" customFormat="1" ht="12.75">
      <c r="A543" s="373" t="s">
        <v>638</v>
      </c>
      <c r="B543" s="374">
        <v>200</v>
      </c>
      <c r="C543" s="372" t="s">
        <v>272</v>
      </c>
      <c r="D543" s="382">
        <v>6095856.57</v>
      </c>
      <c r="E543" s="383">
        <v>6075610.59</v>
      </c>
      <c r="F543" s="384">
        <v>20245.98</v>
      </c>
      <c r="G543" s="71" t="str">
        <f t="shared" si="9"/>
        <v>000</v>
      </c>
    </row>
    <row r="544" spans="1:7" s="70" customFormat="1" ht="33.75">
      <c r="A544" s="373" t="s">
        <v>36</v>
      </c>
      <c r="B544" s="374">
        <v>200</v>
      </c>
      <c r="C544" s="372" t="s">
        <v>273</v>
      </c>
      <c r="D544" s="382">
        <v>5147578.61</v>
      </c>
      <c r="E544" s="383">
        <v>5128437.89</v>
      </c>
      <c r="F544" s="384">
        <v>19140.72</v>
      </c>
      <c r="G544" s="71" t="str">
        <f t="shared" si="9"/>
        <v>100</v>
      </c>
    </row>
    <row r="545" spans="1:7" s="72" customFormat="1" ht="12.75">
      <c r="A545" s="373" t="s">
        <v>37</v>
      </c>
      <c r="B545" s="374">
        <v>200</v>
      </c>
      <c r="C545" s="372" t="s">
        <v>274</v>
      </c>
      <c r="D545" s="382">
        <v>5147578.61</v>
      </c>
      <c r="E545" s="383">
        <v>5128437.89</v>
      </c>
      <c r="F545" s="384">
        <v>19140.72</v>
      </c>
      <c r="G545" s="71" t="str">
        <f t="shared" si="9"/>
        <v>120</v>
      </c>
    </row>
    <row r="546" spans="1:7" s="72" customFormat="1" ht="12.75">
      <c r="A546" s="370" t="s">
        <v>1317</v>
      </c>
      <c r="B546" s="371">
        <v>200</v>
      </c>
      <c r="C546" s="369" t="s">
        <v>275</v>
      </c>
      <c r="D546" s="385">
        <v>4025005.68</v>
      </c>
      <c r="E546" s="380">
        <v>4025005.68</v>
      </c>
      <c r="F546" s="386">
        <v>0</v>
      </c>
      <c r="G546" s="71" t="str">
        <f t="shared" si="9"/>
        <v>121</v>
      </c>
    </row>
    <row r="547" spans="1:7" s="70" customFormat="1" ht="22.5">
      <c r="A547" s="370" t="s">
        <v>244</v>
      </c>
      <c r="B547" s="371">
        <v>200</v>
      </c>
      <c r="C547" s="369" t="s">
        <v>276</v>
      </c>
      <c r="D547" s="385">
        <v>48404.6</v>
      </c>
      <c r="E547" s="380">
        <v>48404.6</v>
      </c>
      <c r="F547" s="386">
        <v>0</v>
      </c>
      <c r="G547" s="71" t="str">
        <f t="shared" si="9"/>
        <v>122</v>
      </c>
    </row>
    <row r="548" spans="1:7" s="72" customFormat="1" ht="33.75">
      <c r="A548" s="370" t="s">
        <v>1318</v>
      </c>
      <c r="B548" s="371">
        <v>200</v>
      </c>
      <c r="C548" s="369" t="s">
        <v>277</v>
      </c>
      <c r="D548" s="385">
        <v>1074168.33</v>
      </c>
      <c r="E548" s="380">
        <v>1055027.61</v>
      </c>
      <c r="F548" s="386">
        <v>19140.72</v>
      </c>
      <c r="G548" s="71" t="str">
        <f t="shared" si="9"/>
        <v>129</v>
      </c>
    </row>
    <row r="549" spans="1:7" s="70" customFormat="1" ht="22.5">
      <c r="A549" s="373" t="s">
        <v>411</v>
      </c>
      <c r="B549" s="374">
        <v>200</v>
      </c>
      <c r="C549" s="372" t="s">
        <v>1713</v>
      </c>
      <c r="D549" s="382">
        <v>942045.59</v>
      </c>
      <c r="E549" s="383">
        <v>940940.33</v>
      </c>
      <c r="F549" s="384">
        <v>1105.26</v>
      </c>
      <c r="G549" s="71" t="str">
        <f t="shared" si="9"/>
        <v>200</v>
      </c>
    </row>
    <row r="550" spans="1:7" s="72" customFormat="1" ht="22.5">
      <c r="A550" s="373" t="s">
        <v>38</v>
      </c>
      <c r="B550" s="374">
        <v>200</v>
      </c>
      <c r="C550" s="372" t="s">
        <v>1714</v>
      </c>
      <c r="D550" s="382">
        <v>942045.59</v>
      </c>
      <c r="E550" s="383">
        <v>940940.33</v>
      </c>
      <c r="F550" s="384">
        <v>1105.26</v>
      </c>
      <c r="G550" s="71" t="str">
        <f t="shared" si="9"/>
        <v>240</v>
      </c>
    </row>
    <row r="551" spans="1:7" s="72" customFormat="1" ht="12.75">
      <c r="A551" s="370" t="s">
        <v>1658</v>
      </c>
      <c r="B551" s="371">
        <v>200</v>
      </c>
      <c r="C551" s="369" t="s">
        <v>1715</v>
      </c>
      <c r="D551" s="385">
        <v>942045.59</v>
      </c>
      <c r="E551" s="380">
        <v>940940.33</v>
      </c>
      <c r="F551" s="386">
        <v>1105.26</v>
      </c>
      <c r="G551" s="71" t="str">
        <f t="shared" si="9"/>
        <v>244</v>
      </c>
    </row>
    <row r="552" spans="1:7" s="70" customFormat="1" ht="12.75">
      <c r="A552" s="373" t="s">
        <v>39</v>
      </c>
      <c r="B552" s="374">
        <v>200</v>
      </c>
      <c r="C552" s="372" t="s">
        <v>2029</v>
      </c>
      <c r="D552" s="382">
        <v>6232.37</v>
      </c>
      <c r="E552" s="383">
        <v>6232.37</v>
      </c>
      <c r="F552" s="384">
        <v>0</v>
      </c>
      <c r="G552" s="71" t="str">
        <f t="shared" si="9"/>
        <v>800</v>
      </c>
    </row>
    <row r="553" spans="1:7" s="72" customFormat="1" ht="12.75">
      <c r="A553" s="373" t="s">
        <v>40</v>
      </c>
      <c r="B553" s="374">
        <v>200</v>
      </c>
      <c r="C553" s="372" t="s">
        <v>2030</v>
      </c>
      <c r="D553" s="382">
        <v>6232.37</v>
      </c>
      <c r="E553" s="383">
        <v>6232.37</v>
      </c>
      <c r="F553" s="384">
        <v>0</v>
      </c>
      <c r="G553" s="71" t="str">
        <f t="shared" si="9"/>
        <v>850</v>
      </c>
    </row>
    <row r="554" spans="1:7" s="70" customFormat="1" ht="12.75">
      <c r="A554" s="370" t="s">
        <v>1375</v>
      </c>
      <c r="B554" s="371">
        <v>200</v>
      </c>
      <c r="C554" s="369" t="s">
        <v>2031</v>
      </c>
      <c r="D554" s="385">
        <v>6232.37</v>
      </c>
      <c r="E554" s="380">
        <v>6232.37</v>
      </c>
      <c r="F554" s="386">
        <v>0</v>
      </c>
      <c r="G554" s="71" t="str">
        <f t="shared" si="9"/>
        <v>853</v>
      </c>
    </row>
    <row r="555" spans="1:7" s="72" customFormat="1" ht="12.75">
      <c r="A555" s="373" t="s">
        <v>1716</v>
      </c>
      <c r="B555" s="374">
        <v>200</v>
      </c>
      <c r="C555" s="372" t="s">
        <v>1717</v>
      </c>
      <c r="D555" s="382">
        <v>10310698.11</v>
      </c>
      <c r="E555" s="383">
        <v>10310698.11</v>
      </c>
      <c r="F555" s="384">
        <v>0</v>
      </c>
      <c r="G555" s="71" t="str">
        <f t="shared" si="9"/>
        <v>000</v>
      </c>
    </row>
    <row r="556" spans="1:7" s="72" customFormat="1" ht="12.75">
      <c r="A556" s="373" t="s">
        <v>39</v>
      </c>
      <c r="B556" s="374">
        <v>200</v>
      </c>
      <c r="C556" s="372" t="s">
        <v>1718</v>
      </c>
      <c r="D556" s="382">
        <v>10310698.11</v>
      </c>
      <c r="E556" s="383">
        <v>10310698.11</v>
      </c>
      <c r="F556" s="384">
        <v>0</v>
      </c>
      <c r="G556" s="71" t="str">
        <f t="shared" si="9"/>
        <v>800</v>
      </c>
    </row>
    <row r="557" spans="1:7" s="72" customFormat="1" ht="12.75">
      <c r="A557" s="370" t="s">
        <v>1376</v>
      </c>
      <c r="B557" s="371">
        <v>200</v>
      </c>
      <c r="C557" s="369" t="s">
        <v>1719</v>
      </c>
      <c r="D557" s="385">
        <v>10310698.11</v>
      </c>
      <c r="E557" s="380">
        <v>10310698.11</v>
      </c>
      <c r="F557" s="386">
        <v>0</v>
      </c>
      <c r="G557" s="71" t="str">
        <f t="shared" si="9"/>
        <v>880</v>
      </c>
    </row>
    <row r="558" spans="1:7" s="72" customFormat="1" ht="45">
      <c r="A558" s="377" t="s">
        <v>1593</v>
      </c>
      <c r="B558" s="374">
        <v>200</v>
      </c>
      <c r="C558" s="372" t="s">
        <v>278</v>
      </c>
      <c r="D558" s="382">
        <v>2114434.65</v>
      </c>
      <c r="E558" s="383">
        <v>2114434.65</v>
      </c>
      <c r="F558" s="384">
        <v>0</v>
      </c>
      <c r="G558" s="71" t="str">
        <f t="shared" si="9"/>
        <v>000</v>
      </c>
    </row>
    <row r="559" spans="1:7" s="72" customFormat="1" ht="33.75">
      <c r="A559" s="373" t="s">
        <v>36</v>
      </c>
      <c r="B559" s="374">
        <v>200</v>
      </c>
      <c r="C559" s="372" t="s">
        <v>279</v>
      </c>
      <c r="D559" s="382">
        <v>2114434.65</v>
      </c>
      <c r="E559" s="383">
        <v>2114434.65</v>
      </c>
      <c r="F559" s="384">
        <v>0</v>
      </c>
      <c r="G559" s="71" t="str">
        <f t="shared" si="9"/>
        <v>100</v>
      </c>
    </row>
    <row r="560" spans="1:7" s="72" customFormat="1" ht="12.75">
      <c r="A560" s="373" t="s">
        <v>37</v>
      </c>
      <c r="B560" s="374">
        <v>200</v>
      </c>
      <c r="C560" s="372" t="s">
        <v>280</v>
      </c>
      <c r="D560" s="382">
        <v>2114434.65</v>
      </c>
      <c r="E560" s="383">
        <v>2114434.65</v>
      </c>
      <c r="F560" s="384">
        <v>0</v>
      </c>
      <c r="G560" s="71" t="str">
        <f t="shared" si="9"/>
        <v>120</v>
      </c>
    </row>
    <row r="561" spans="1:7" s="72" customFormat="1" ht="12.75">
      <c r="A561" s="370" t="s">
        <v>1317</v>
      </c>
      <c r="B561" s="371">
        <v>200</v>
      </c>
      <c r="C561" s="369" t="s">
        <v>281</v>
      </c>
      <c r="D561" s="385">
        <v>1682502.2</v>
      </c>
      <c r="E561" s="380">
        <v>1682502.2</v>
      </c>
      <c r="F561" s="386">
        <v>0</v>
      </c>
      <c r="G561" s="71" t="str">
        <f t="shared" si="9"/>
        <v>121</v>
      </c>
    </row>
    <row r="562" spans="1:7" s="72" customFormat="1" ht="33.75">
      <c r="A562" s="370" t="s">
        <v>1318</v>
      </c>
      <c r="B562" s="371">
        <v>200</v>
      </c>
      <c r="C562" s="369" t="s">
        <v>282</v>
      </c>
      <c r="D562" s="385">
        <v>431932.45</v>
      </c>
      <c r="E562" s="380">
        <v>431932.45</v>
      </c>
      <c r="F562" s="386">
        <v>0</v>
      </c>
      <c r="G562" s="71" t="str">
        <f t="shared" si="9"/>
        <v>129</v>
      </c>
    </row>
    <row r="563" spans="1:7" s="72" customFormat="1" ht="33.75">
      <c r="A563" s="373" t="s">
        <v>2254</v>
      </c>
      <c r="B563" s="374">
        <v>200</v>
      </c>
      <c r="C563" s="372" t="s">
        <v>2288</v>
      </c>
      <c r="D563" s="382">
        <v>225841.95</v>
      </c>
      <c r="E563" s="383">
        <v>225841.95</v>
      </c>
      <c r="F563" s="384">
        <v>0</v>
      </c>
      <c r="G563" s="71" t="str">
        <f t="shared" si="9"/>
        <v>000</v>
      </c>
    </row>
    <row r="564" spans="1:7" s="72" customFormat="1" ht="33.75">
      <c r="A564" s="373" t="s">
        <v>36</v>
      </c>
      <c r="B564" s="374">
        <v>200</v>
      </c>
      <c r="C564" s="372" t="s">
        <v>2289</v>
      </c>
      <c r="D564" s="382">
        <v>225841.95</v>
      </c>
      <c r="E564" s="383">
        <v>225841.95</v>
      </c>
      <c r="F564" s="384">
        <v>0</v>
      </c>
      <c r="G564" s="71" t="str">
        <f t="shared" si="9"/>
        <v>100</v>
      </c>
    </row>
    <row r="565" spans="1:7" s="70" customFormat="1" ht="12.75">
      <c r="A565" s="373" t="s">
        <v>37</v>
      </c>
      <c r="B565" s="374">
        <v>200</v>
      </c>
      <c r="C565" s="372" t="s">
        <v>2290</v>
      </c>
      <c r="D565" s="382">
        <v>225841.95</v>
      </c>
      <c r="E565" s="383">
        <v>225841.95</v>
      </c>
      <c r="F565" s="384">
        <v>0</v>
      </c>
      <c r="G565" s="71" t="str">
        <f t="shared" si="9"/>
        <v>120</v>
      </c>
    </row>
    <row r="566" spans="1:7" s="72" customFormat="1" ht="12.75">
      <c r="A566" s="370" t="s">
        <v>1317</v>
      </c>
      <c r="B566" s="371">
        <v>200</v>
      </c>
      <c r="C566" s="369" t="s">
        <v>2291</v>
      </c>
      <c r="D566" s="385">
        <v>184690</v>
      </c>
      <c r="E566" s="380">
        <v>184690</v>
      </c>
      <c r="F566" s="386">
        <v>0</v>
      </c>
      <c r="G566" s="71" t="str">
        <f t="shared" si="9"/>
        <v>121</v>
      </c>
    </row>
    <row r="567" spans="1:7" s="70" customFormat="1" ht="33.75">
      <c r="A567" s="370" t="s">
        <v>1318</v>
      </c>
      <c r="B567" s="371">
        <v>200</v>
      </c>
      <c r="C567" s="369" t="s">
        <v>2292</v>
      </c>
      <c r="D567" s="385">
        <v>41151.95</v>
      </c>
      <c r="E567" s="380">
        <v>41151.95</v>
      </c>
      <c r="F567" s="386">
        <v>0</v>
      </c>
      <c r="G567" s="71" t="str">
        <f t="shared" si="9"/>
        <v>129</v>
      </c>
    </row>
    <row r="568" spans="1:7" s="72" customFormat="1" ht="22.5">
      <c r="A568" s="373" t="s">
        <v>1811</v>
      </c>
      <c r="B568" s="374">
        <v>200</v>
      </c>
      <c r="C568" s="372" t="s">
        <v>1864</v>
      </c>
      <c r="D568" s="382">
        <v>235092</v>
      </c>
      <c r="E568" s="383">
        <v>235092</v>
      </c>
      <c r="F568" s="384">
        <v>0</v>
      </c>
      <c r="G568" s="71" t="str">
        <f t="shared" si="9"/>
        <v>000</v>
      </c>
    </row>
    <row r="569" spans="1:7" s="70" customFormat="1" ht="33.75">
      <c r="A569" s="373" t="s">
        <v>36</v>
      </c>
      <c r="B569" s="374">
        <v>200</v>
      </c>
      <c r="C569" s="372" t="s">
        <v>1865</v>
      </c>
      <c r="D569" s="382">
        <v>235092</v>
      </c>
      <c r="E569" s="383">
        <v>235092</v>
      </c>
      <c r="F569" s="384">
        <v>0</v>
      </c>
      <c r="G569" s="71" t="str">
        <f t="shared" si="9"/>
        <v>100</v>
      </c>
    </row>
    <row r="570" spans="1:7" s="70" customFormat="1" ht="12.75">
      <c r="A570" s="373" t="s">
        <v>37</v>
      </c>
      <c r="B570" s="374">
        <v>200</v>
      </c>
      <c r="C570" s="372" t="s">
        <v>1866</v>
      </c>
      <c r="D570" s="382">
        <v>235092</v>
      </c>
      <c r="E570" s="383">
        <v>235092</v>
      </c>
      <c r="F570" s="384">
        <v>0</v>
      </c>
      <c r="G570" s="71" t="str">
        <f t="shared" si="9"/>
        <v>120</v>
      </c>
    </row>
    <row r="571" spans="1:7" s="72" customFormat="1" ht="12.75">
      <c r="A571" s="370" t="s">
        <v>1317</v>
      </c>
      <c r="B571" s="371">
        <v>200</v>
      </c>
      <c r="C571" s="369" t="s">
        <v>1867</v>
      </c>
      <c r="D571" s="385">
        <v>180562</v>
      </c>
      <c r="E571" s="380">
        <v>180562</v>
      </c>
      <c r="F571" s="386">
        <v>0</v>
      </c>
      <c r="G571" s="71" t="str">
        <f t="shared" si="9"/>
        <v>121</v>
      </c>
    </row>
    <row r="572" spans="1:7" s="72" customFormat="1" ht="33.75">
      <c r="A572" s="370" t="s">
        <v>1318</v>
      </c>
      <c r="B572" s="371">
        <v>200</v>
      </c>
      <c r="C572" s="369" t="s">
        <v>1868</v>
      </c>
      <c r="D572" s="385">
        <v>54530</v>
      </c>
      <c r="E572" s="380">
        <v>54530</v>
      </c>
      <c r="F572" s="386">
        <v>0</v>
      </c>
      <c r="G572" s="71" t="str">
        <f t="shared" si="9"/>
        <v>129</v>
      </c>
    </row>
    <row r="573" spans="1:7" s="70" customFormat="1" ht="22.5">
      <c r="A573" s="373" t="s">
        <v>519</v>
      </c>
      <c r="B573" s="374">
        <v>200</v>
      </c>
      <c r="C573" s="372" t="s">
        <v>520</v>
      </c>
      <c r="D573" s="382">
        <v>9400100</v>
      </c>
      <c r="E573" s="383">
        <v>9400100</v>
      </c>
      <c r="F573" s="384">
        <v>0</v>
      </c>
      <c r="G573" s="71" t="str">
        <f t="shared" si="9"/>
        <v>000</v>
      </c>
    </row>
    <row r="574" spans="1:7" s="72" customFormat="1" ht="12.75">
      <c r="A574" s="373" t="s">
        <v>94</v>
      </c>
      <c r="B574" s="374">
        <v>200</v>
      </c>
      <c r="C574" s="372" t="s">
        <v>521</v>
      </c>
      <c r="D574" s="382">
        <v>9400100</v>
      </c>
      <c r="E574" s="383">
        <v>9400100</v>
      </c>
      <c r="F574" s="384">
        <v>0</v>
      </c>
      <c r="G574" s="71" t="str">
        <f t="shared" si="9"/>
        <v>000</v>
      </c>
    </row>
    <row r="575" spans="1:7" s="72" customFormat="1" ht="12.75">
      <c r="A575" s="373" t="s">
        <v>1405</v>
      </c>
      <c r="B575" s="374">
        <v>200</v>
      </c>
      <c r="C575" s="372" t="s">
        <v>522</v>
      </c>
      <c r="D575" s="382">
        <v>9400100</v>
      </c>
      <c r="E575" s="383">
        <v>9400100</v>
      </c>
      <c r="F575" s="384">
        <v>0</v>
      </c>
      <c r="G575" s="71" t="str">
        <f t="shared" si="9"/>
        <v>000</v>
      </c>
    </row>
    <row r="576" spans="1:7" s="72" customFormat="1" ht="12.75">
      <c r="A576" s="373" t="s">
        <v>243</v>
      </c>
      <c r="B576" s="374">
        <v>200</v>
      </c>
      <c r="C576" s="372" t="s">
        <v>523</v>
      </c>
      <c r="D576" s="382">
        <v>9400100</v>
      </c>
      <c r="E576" s="383">
        <v>9400100</v>
      </c>
      <c r="F576" s="384">
        <v>0</v>
      </c>
      <c r="G576" s="71" t="str">
        <f t="shared" si="9"/>
        <v>000</v>
      </c>
    </row>
    <row r="577" spans="1:7" s="70" customFormat="1" ht="22.5">
      <c r="A577" s="373" t="s">
        <v>2396</v>
      </c>
      <c r="B577" s="374">
        <v>200</v>
      </c>
      <c r="C577" s="372" t="s">
        <v>2397</v>
      </c>
      <c r="D577" s="382">
        <v>618500</v>
      </c>
      <c r="E577" s="383">
        <v>618500</v>
      </c>
      <c r="F577" s="384">
        <v>0</v>
      </c>
      <c r="G577" s="71" t="str">
        <f t="shared" si="9"/>
        <v>000</v>
      </c>
    </row>
    <row r="578" spans="1:7" s="72" customFormat="1" ht="33.75">
      <c r="A578" s="373" t="s">
        <v>36</v>
      </c>
      <c r="B578" s="374">
        <v>200</v>
      </c>
      <c r="C578" s="372" t="s">
        <v>2398</v>
      </c>
      <c r="D578" s="382">
        <v>618500</v>
      </c>
      <c r="E578" s="383">
        <v>618500</v>
      </c>
      <c r="F578" s="384">
        <v>0</v>
      </c>
      <c r="G578" s="71" t="str">
        <f t="shared" si="9"/>
        <v>100</v>
      </c>
    </row>
    <row r="579" spans="1:7" s="72" customFormat="1" ht="12.75">
      <c r="A579" s="373" t="s">
        <v>37</v>
      </c>
      <c r="B579" s="374">
        <v>200</v>
      </c>
      <c r="C579" s="372" t="s">
        <v>2399</v>
      </c>
      <c r="D579" s="382">
        <v>618500</v>
      </c>
      <c r="E579" s="383">
        <v>618500</v>
      </c>
      <c r="F579" s="384">
        <v>0</v>
      </c>
      <c r="G579" s="71" t="str">
        <f t="shared" si="9"/>
        <v>120</v>
      </c>
    </row>
    <row r="580" spans="1:7" s="72" customFormat="1" ht="12.75">
      <c r="A580" s="370" t="s">
        <v>1317</v>
      </c>
      <c r="B580" s="371">
        <v>200</v>
      </c>
      <c r="C580" s="369" t="s">
        <v>2400</v>
      </c>
      <c r="D580" s="385">
        <v>475770</v>
      </c>
      <c r="E580" s="380">
        <v>475770</v>
      </c>
      <c r="F580" s="386">
        <v>0</v>
      </c>
      <c r="G580" s="71" t="str">
        <f t="shared" si="9"/>
        <v>121</v>
      </c>
    </row>
    <row r="581" spans="1:7" s="72" customFormat="1" ht="33.75">
      <c r="A581" s="370" t="s">
        <v>1318</v>
      </c>
      <c r="B581" s="371">
        <v>200</v>
      </c>
      <c r="C581" s="369" t="s">
        <v>2401</v>
      </c>
      <c r="D581" s="385">
        <v>142730</v>
      </c>
      <c r="E581" s="380">
        <v>142730</v>
      </c>
      <c r="F581" s="386">
        <v>0</v>
      </c>
      <c r="G581" s="71" t="str">
        <f t="shared" si="9"/>
        <v>129</v>
      </c>
    </row>
    <row r="582" spans="1:7" s="70" customFormat="1" ht="12.75">
      <c r="A582" s="373" t="s">
        <v>1299</v>
      </c>
      <c r="B582" s="374">
        <v>200</v>
      </c>
      <c r="C582" s="372" t="s">
        <v>2402</v>
      </c>
      <c r="D582" s="382">
        <v>431200</v>
      </c>
      <c r="E582" s="383">
        <v>431200</v>
      </c>
      <c r="F582" s="384">
        <v>0</v>
      </c>
      <c r="G582" s="71" t="str">
        <f t="shared" si="9"/>
        <v>000</v>
      </c>
    </row>
    <row r="583" spans="1:7" s="70" customFormat="1" ht="33.75">
      <c r="A583" s="373" t="s">
        <v>36</v>
      </c>
      <c r="B583" s="374">
        <v>200</v>
      </c>
      <c r="C583" s="372" t="s">
        <v>2403</v>
      </c>
      <c r="D583" s="382">
        <v>431200</v>
      </c>
      <c r="E583" s="383">
        <v>431200</v>
      </c>
      <c r="F583" s="384">
        <v>0</v>
      </c>
      <c r="G583" s="71" t="str">
        <f t="shared" si="9"/>
        <v>100</v>
      </c>
    </row>
    <row r="584" spans="1:7" s="70" customFormat="1" ht="12.75">
      <c r="A584" s="373" t="s">
        <v>37</v>
      </c>
      <c r="B584" s="374">
        <v>200</v>
      </c>
      <c r="C584" s="372" t="s">
        <v>2404</v>
      </c>
      <c r="D584" s="382">
        <v>431200</v>
      </c>
      <c r="E584" s="383">
        <v>431200</v>
      </c>
      <c r="F584" s="384">
        <v>0</v>
      </c>
      <c r="G584" s="71" t="str">
        <f t="shared" si="9"/>
        <v>120</v>
      </c>
    </row>
    <row r="585" spans="1:7" s="72" customFormat="1" ht="12.75">
      <c r="A585" s="370" t="s">
        <v>1317</v>
      </c>
      <c r="B585" s="371">
        <v>200</v>
      </c>
      <c r="C585" s="369" t="s">
        <v>2405</v>
      </c>
      <c r="D585" s="385">
        <v>331183</v>
      </c>
      <c r="E585" s="380">
        <v>331183</v>
      </c>
      <c r="F585" s="386">
        <v>0</v>
      </c>
      <c r="G585" s="71" t="str">
        <f aca="true" t="shared" si="10" ref="G585:G643">RIGHT(C585,3)</f>
        <v>121</v>
      </c>
    </row>
    <row r="586" spans="1:7" s="72" customFormat="1" ht="33.75">
      <c r="A586" s="370" t="s">
        <v>1318</v>
      </c>
      <c r="B586" s="371">
        <v>200</v>
      </c>
      <c r="C586" s="369" t="s">
        <v>2406</v>
      </c>
      <c r="D586" s="385">
        <v>100017</v>
      </c>
      <c r="E586" s="380">
        <v>100017</v>
      </c>
      <c r="F586" s="386">
        <v>0</v>
      </c>
      <c r="G586" s="71" t="str">
        <f t="shared" si="10"/>
        <v>129</v>
      </c>
    </row>
    <row r="587" spans="1:7" s="70" customFormat="1" ht="12.75">
      <c r="A587" s="373" t="s">
        <v>108</v>
      </c>
      <c r="B587" s="374">
        <v>200</v>
      </c>
      <c r="C587" s="372" t="s">
        <v>524</v>
      </c>
      <c r="D587" s="382">
        <v>8350400</v>
      </c>
      <c r="E587" s="383">
        <v>8350400</v>
      </c>
      <c r="F587" s="384">
        <v>0</v>
      </c>
      <c r="G587" s="71" t="str">
        <f t="shared" si="10"/>
        <v>000</v>
      </c>
    </row>
    <row r="588" spans="1:7" s="72" customFormat="1" ht="33.75">
      <c r="A588" s="373" t="s">
        <v>36</v>
      </c>
      <c r="B588" s="374">
        <v>200</v>
      </c>
      <c r="C588" s="372" t="s">
        <v>525</v>
      </c>
      <c r="D588" s="382">
        <v>7903079.06</v>
      </c>
      <c r="E588" s="383">
        <v>7903079.06</v>
      </c>
      <c r="F588" s="384">
        <v>0</v>
      </c>
      <c r="G588" s="71" t="str">
        <f t="shared" si="10"/>
        <v>100</v>
      </c>
    </row>
    <row r="589" spans="1:7" s="72" customFormat="1" ht="12.75">
      <c r="A589" s="373" t="s">
        <v>37</v>
      </c>
      <c r="B589" s="374">
        <v>200</v>
      </c>
      <c r="C589" s="372" t="s">
        <v>526</v>
      </c>
      <c r="D589" s="382">
        <v>7903079.06</v>
      </c>
      <c r="E589" s="383">
        <v>7903079.06</v>
      </c>
      <c r="F589" s="384">
        <v>0</v>
      </c>
      <c r="G589" s="71" t="str">
        <f t="shared" si="10"/>
        <v>120</v>
      </c>
    </row>
    <row r="590" spans="1:7" s="72" customFormat="1" ht="12.75">
      <c r="A590" s="370" t="s">
        <v>1317</v>
      </c>
      <c r="B590" s="371">
        <v>200</v>
      </c>
      <c r="C590" s="369" t="s">
        <v>527</v>
      </c>
      <c r="D590" s="385">
        <v>5863709.27</v>
      </c>
      <c r="E590" s="380">
        <v>5863709.27</v>
      </c>
      <c r="F590" s="386">
        <v>0</v>
      </c>
      <c r="G590" s="71" t="str">
        <f t="shared" si="10"/>
        <v>121</v>
      </c>
    </row>
    <row r="591" spans="1:7" s="70" customFormat="1" ht="22.5">
      <c r="A591" s="370" t="s">
        <v>244</v>
      </c>
      <c r="B591" s="371">
        <v>200</v>
      </c>
      <c r="C591" s="369" t="s">
        <v>528</v>
      </c>
      <c r="D591" s="385">
        <v>354777.46</v>
      </c>
      <c r="E591" s="380">
        <v>354777.46</v>
      </c>
      <c r="F591" s="386">
        <v>0</v>
      </c>
      <c r="G591" s="71" t="str">
        <f t="shared" si="10"/>
        <v>122</v>
      </c>
    </row>
    <row r="592" spans="1:7" s="72" customFormat="1" ht="33.75">
      <c r="A592" s="370" t="s">
        <v>1318</v>
      </c>
      <c r="B592" s="371">
        <v>200</v>
      </c>
      <c r="C592" s="369" t="s">
        <v>529</v>
      </c>
      <c r="D592" s="385">
        <v>1684592.33</v>
      </c>
      <c r="E592" s="380">
        <v>1684592.33</v>
      </c>
      <c r="F592" s="386">
        <v>0</v>
      </c>
      <c r="G592" s="71" t="str">
        <f t="shared" si="10"/>
        <v>129</v>
      </c>
    </row>
    <row r="593" spans="1:7" s="72" customFormat="1" ht="22.5">
      <c r="A593" s="373" t="s">
        <v>411</v>
      </c>
      <c r="B593" s="374">
        <v>200</v>
      </c>
      <c r="C593" s="372" t="s">
        <v>530</v>
      </c>
      <c r="D593" s="382">
        <v>198487</v>
      </c>
      <c r="E593" s="383">
        <v>198487</v>
      </c>
      <c r="F593" s="384">
        <v>0</v>
      </c>
      <c r="G593" s="71" t="str">
        <f t="shared" si="10"/>
        <v>200</v>
      </c>
    </row>
    <row r="594" spans="1:7" s="72" customFormat="1" ht="22.5">
      <c r="A594" s="373" t="s">
        <v>38</v>
      </c>
      <c r="B594" s="374">
        <v>200</v>
      </c>
      <c r="C594" s="372" t="s">
        <v>531</v>
      </c>
      <c r="D594" s="382">
        <v>198487</v>
      </c>
      <c r="E594" s="383">
        <v>198487</v>
      </c>
      <c r="F594" s="384">
        <v>0</v>
      </c>
      <c r="G594" s="71" t="str">
        <f t="shared" si="10"/>
        <v>240</v>
      </c>
    </row>
    <row r="595" spans="1:7" s="72" customFormat="1" ht="12.75">
      <c r="A595" s="370" t="s">
        <v>1658</v>
      </c>
      <c r="B595" s="371">
        <v>200</v>
      </c>
      <c r="C595" s="369" t="s">
        <v>532</v>
      </c>
      <c r="D595" s="385">
        <v>198487</v>
      </c>
      <c r="E595" s="380">
        <v>198487</v>
      </c>
      <c r="F595" s="386">
        <v>0</v>
      </c>
      <c r="G595" s="71" t="str">
        <f t="shared" si="10"/>
        <v>244</v>
      </c>
    </row>
    <row r="596" spans="1:7" s="70" customFormat="1" ht="12.75">
      <c r="A596" s="373" t="s">
        <v>42</v>
      </c>
      <c r="B596" s="374">
        <v>200</v>
      </c>
      <c r="C596" s="372" t="s">
        <v>533</v>
      </c>
      <c r="D596" s="382">
        <v>248786.52</v>
      </c>
      <c r="E596" s="383">
        <v>248786.52</v>
      </c>
      <c r="F596" s="384">
        <v>0</v>
      </c>
      <c r="G596" s="71" t="str">
        <f t="shared" si="10"/>
        <v>500</v>
      </c>
    </row>
    <row r="597" spans="1:7" s="72" customFormat="1" ht="12.75">
      <c r="A597" s="370" t="s">
        <v>512</v>
      </c>
      <c r="B597" s="371">
        <v>200</v>
      </c>
      <c r="C597" s="369" t="s">
        <v>534</v>
      </c>
      <c r="D597" s="385">
        <v>248786.52</v>
      </c>
      <c r="E597" s="380">
        <v>248786.52</v>
      </c>
      <c r="F597" s="386">
        <v>0</v>
      </c>
      <c r="G597" s="71" t="str">
        <f t="shared" si="10"/>
        <v>540</v>
      </c>
    </row>
    <row r="598" spans="1:7" s="72" customFormat="1" ht="12.75">
      <c r="A598" s="373" t="s">
        <v>39</v>
      </c>
      <c r="B598" s="374">
        <v>200</v>
      </c>
      <c r="C598" s="372" t="s">
        <v>2114</v>
      </c>
      <c r="D598" s="382">
        <v>47.42</v>
      </c>
      <c r="E598" s="383">
        <v>47.42</v>
      </c>
      <c r="F598" s="384">
        <v>0</v>
      </c>
      <c r="G598" s="71" t="str">
        <f t="shared" si="10"/>
        <v>800</v>
      </c>
    </row>
    <row r="599" spans="1:7" s="72" customFormat="1" ht="12.75">
      <c r="A599" s="373" t="s">
        <v>40</v>
      </c>
      <c r="B599" s="374">
        <v>200</v>
      </c>
      <c r="C599" s="372" t="s">
        <v>2115</v>
      </c>
      <c r="D599" s="382">
        <v>47.42</v>
      </c>
      <c r="E599" s="383">
        <v>47.42</v>
      </c>
      <c r="F599" s="384">
        <v>0</v>
      </c>
      <c r="G599" s="71" t="str">
        <f t="shared" si="10"/>
        <v>850</v>
      </c>
    </row>
    <row r="600" spans="1:7" s="72" customFormat="1" ht="12.75">
      <c r="A600" s="370" t="s">
        <v>1375</v>
      </c>
      <c r="B600" s="371">
        <v>200</v>
      </c>
      <c r="C600" s="369" t="s">
        <v>2116</v>
      </c>
      <c r="D600" s="385">
        <v>47.42</v>
      </c>
      <c r="E600" s="380">
        <v>47.42</v>
      </c>
      <c r="F600" s="386">
        <v>0</v>
      </c>
      <c r="G600" s="71" t="str">
        <f t="shared" si="10"/>
        <v>853</v>
      </c>
    </row>
    <row r="601" spans="1:7" s="72" customFormat="1" ht="22.5">
      <c r="A601" s="373" t="s">
        <v>535</v>
      </c>
      <c r="B601" s="374">
        <v>200</v>
      </c>
      <c r="C601" s="372" t="s">
        <v>536</v>
      </c>
      <c r="D601" s="382">
        <v>20237204.25</v>
      </c>
      <c r="E601" s="383">
        <v>20227578.66</v>
      </c>
      <c r="F601" s="384">
        <v>9625.59</v>
      </c>
      <c r="G601" s="71" t="str">
        <f t="shared" si="10"/>
        <v>000</v>
      </c>
    </row>
    <row r="602" spans="1:7" s="70" customFormat="1" ht="12.75">
      <c r="A602" s="373" t="s">
        <v>94</v>
      </c>
      <c r="B602" s="374">
        <v>200</v>
      </c>
      <c r="C602" s="372" t="s">
        <v>537</v>
      </c>
      <c r="D602" s="382">
        <v>20237204.25</v>
      </c>
      <c r="E602" s="383">
        <v>20227578.66</v>
      </c>
      <c r="F602" s="384">
        <v>9625.59</v>
      </c>
      <c r="G602" s="71" t="str">
        <f t="shared" si="10"/>
        <v>000</v>
      </c>
    </row>
    <row r="603" spans="1:7" s="72" customFormat="1" ht="22.5">
      <c r="A603" s="373" t="s">
        <v>427</v>
      </c>
      <c r="B603" s="374">
        <v>200</v>
      </c>
      <c r="C603" s="372" t="s">
        <v>538</v>
      </c>
      <c r="D603" s="382">
        <v>20237204.25</v>
      </c>
      <c r="E603" s="383">
        <v>20227578.66</v>
      </c>
      <c r="F603" s="384">
        <v>9625.59</v>
      </c>
      <c r="G603" s="71" t="str">
        <f t="shared" si="10"/>
        <v>000</v>
      </c>
    </row>
    <row r="604" spans="1:7" s="70" customFormat="1" ht="12.75">
      <c r="A604" s="373" t="s">
        <v>243</v>
      </c>
      <c r="B604" s="374">
        <v>200</v>
      </c>
      <c r="C604" s="372" t="s">
        <v>539</v>
      </c>
      <c r="D604" s="382">
        <v>20237204.25</v>
      </c>
      <c r="E604" s="383">
        <v>20227578.66</v>
      </c>
      <c r="F604" s="384">
        <v>9625.59</v>
      </c>
      <c r="G604" s="71" t="str">
        <f t="shared" si="10"/>
        <v>000</v>
      </c>
    </row>
    <row r="605" spans="1:7" s="70" customFormat="1" ht="12.75">
      <c r="A605" s="373" t="s">
        <v>1299</v>
      </c>
      <c r="B605" s="374">
        <v>200</v>
      </c>
      <c r="C605" s="372" t="s">
        <v>540</v>
      </c>
      <c r="D605" s="382">
        <v>15156914.56</v>
      </c>
      <c r="E605" s="383">
        <v>15147288.97</v>
      </c>
      <c r="F605" s="384">
        <v>9625.59</v>
      </c>
      <c r="G605" s="71" t="str">
        <f t="shared" si="10"/>
        <v>000</v>
      </c>
    </row>
    <row r="606" spans="1:7" s="72" customFormat="1" ht="33.75">
      <c r="A606" s="373" t="s">
        <v>36</v>
      </c>
      <c r="B606" s="374">
        <v>200</v>
      </c>
      <c r="C606" s="372" t="s">
        <v>541</v>
      </c>
      <c r="D606" s="382">
        <v>13095458.63</v>
      </c>
      <c r="E606" s="383">
        <v>13095458.63</v>
      </c>
      <c r="F606" s="384">
        <v>0</v>
      </c>
      <c r="G606" s="71" t="str">
        <f t="shared" si="10"/>
        <v>100</v>
      </c>
    </row>
    <row r="607" spans="1:7" s="72" customFormat="1" ht="12.75">
      <c r="A607" s="373" t="s">
        <v>37</v>
      </c>
      <c r="B607" s="374">
        <v>200</v>
      </c>
      <c r="C607" s="372" t="s">
        <v>542</v>
      </c>
      <c r="D607" s="382">
        <v>13095458.63</v>
      </c>
      <c r="E607" s="383">
        <v>13095458.63</v>
      </c>
      <c r="F607" s="384">
        <v>0</v>
      </c>
      <c r="G607" s="71" t="str">
        <f t="shared" si="10"/>
        <v>120</v>
      </c>
    </row>
    <row r="608" spans="1:7" s="72" customFormat="1" ht="12.75">
      <c r="A608" s="370" t="s">
        <v>1317</v>
      </c>
      <c r="B608" s="371">
        <v>200</v>
      </c>
      <c r="C608" s="369" t="s">
        <v>543</v>
      </c>
      <c r="D608" s="385">
        <v>9325189.08</v>
      </c>
      <c r="E608" s="380">
        <v>9325189.08</v>
      </c>
      <c r="F608" s="386">
        <v>0</v>
      </c>
      <c r="G608" s="71" t="str">
        <f t="shared" si="10"/>
        <v>121</v>
      </c>
    </row>
    <row r="609" spans="1:7" s="72" customFormat="1" ht="22.5">
      <c r="A609" s="370" t="s">
        <v>244</v>
      </c>
      <c r="B609" s="371">
        <v>200</v>
      </c>
      <c r="C609" s="369" t="s">
        <v>544</v>
      </c>
      <c r="D609" s="385">
        <v>1366900</v>
      </c>
      <c r="E609" s="380">
        <v>1366900</v>
      </c>
      <c r="F609" s="386">
        <v>0</v>
      </c>
      <c r="G609" s="71" t="str">
        <f t="shared" si="10"/>
        <v>122</v>
      </c>
    </row>
    <row r="610" spans="1:7" s="72" customFormat="1" ht="33.75">
      <c r="A610" s="370" t="s">
        <v>1318</v>
      </c>
      <c r="B610" s="371">
        <v>200</v>
      </c>
      <c r="C610" s="369" t="s">
        <v>545</v>
      </c>
      <c r="D610" s="385">
        <v>2403369.55</v>
      </c>
      <c r="E610" s="380">
        <v>2403369.55</v>
      </c>
      <c r="F610" s="386">
        <v>0</v>
      </c>
      <c r="G610" s="71" t="str">
        <f t="shared" si="10"/>
        <v>129</v>
      </c>
    </row>
    <row r="611" spans="1:7" s="72" customFormat="1" ht="22.5">
      <c r="A611" s="373" t="s">
        <v>411</v>
      </c>
      <c r="B611" s="374">
        <v>200</v>
      </c>
      <c r="C611" s="372" t="s">
        <v>1720</v>
      </c>
      <c r="D611" s="382">
        <v>2030455.13</v>
      </c>
      <c r="E611" s="383">
        <v>2020829.54</v>
      </c>
      <c r="F611" s="384">
        <v>9625.59</v>
      </c>
      <c r="G611" s="71" t="str">
        <f t="shared" si="10"/>
        <v>200</v>
      </c>
    </row>
    <row r="612" spans="1:7" s="72" customFormat="1" ht="22.5">
      <c r="A612" s="373" t="s">
        <v>38</v>
      </c>
      <c r="B612" s="374">
        <v>200</v>
      </c>
      <c r="C612" s="372" t="s">
        <v>1721</v>
      </c>
      <c r="D612" s="382">
        <v>2030455.13</v>
      </c>
      <c r="E612" s="383">
        <v>2020829.54</v>
      </c>
      <c r="F612" s="384">
        <v>9625.59</v>
      </c>
      <c r="G612" s="71" t="str">
        <f t="shared" si="10"/>
        <v>240</v>
      </c>
    </row>
    <row r="613" spans="1:7" s="72" customFormat="1" ht="12.75">
      <c r="A613" s="370" t="s">
        <v>1658</v>
      </c>
      <c r="B613" s="371">
        <v>200</v>
      </c>
      <c r="C613" s="369" t="s">
        <v>1722</v>
      </c>
      <c r="D613" s="385">
        <v>2030455.13</v>
      </c>
      <c r="E613" s="380">
        <v>2020829.54</v>
      </c>
      <c r="F613" s="386">
        <v>9625.59</v>
      </c>
      <c r="G613" s="71" t="str">
        <f t="shared" si="10"/>
        <v>244</v>
      </c>
    </row>
    <row r="614" spans="1:7" s="70" customFormat="1" ht="12.75">
      <c r="A614" s="373" t="s">
        <v>39</v>
      </c>
      <c r="B614" s="374">
        <v>200</v>
      </c>
      <c r="C614" s="372" t="s">
        <v>546</v>
      </c>
      <c r="D614" s="382">
        <v>31000.8</v>
      </c>
      <c r="E614" s="383">
        <v>31000.8</v>
      </c>
      <c r="F614" s="384">
        <v>0</v>
      </c>
      <c r="G614" s="71" t="str">
        <f t="shared" si="10"/>
        <v>800</v>
      </c>
    </row>
    <row r="615" spans="1:7" s="72" customFormat="1" ht="12.75">
      <c r="A615" s="373" t="s">
        <v>40</v>
      </c>
      <c r="B615" s="374">
        <v>200</v>
      </c>
      <c r="C615" s="372" t="s">
        <v>547</v>
      </c>
      <c r="D615" s="382">
        <v>31000.8</v>
      </c>
      <c r="E615" s="383">
        <v>31000.8</v>
      </c>
      <c r="F615" s="384">
        <v>0</v>
      </c>
      <c r="G615" s="71" t="str">
        <f t="shared" si="10"/>
        <v>850</v>
      </c>
    </row>
    <row r="616" spans="1:7" s="72" customFormat="1" ht="12.75">
      <c r="A616" s="370" t="s">
        <v>1375</v>
      </c>
      <c r="B616" s="371">
        <v>200</v>
      </c>
      <c r="C616" s="369" t="s">
        <v>155</v>
      </c>
      <c r="D616" s="385">
        <v>31000.8</v>
      </c>
      <c r="E616" s="380">
        <v>31000.8</v>
      </c>
      <c r="F616" s="386">
        <v>0</v>
      </c>
      <c r="G616" s="71" t="str">
        <f t="shared" si="10"/>
        <v>853</v>
      </c>
    </row>
    <row r="617" spans="1:7" s="72" customFormat="1" ht="45">
      <c r="A617" s="377" t="s">
        <v>1593</v>
      </c>
      <c r="B617" s="374">
        <v>200</v>
      </c>
      <c r="C617" s="372" t="s">
        <v>548</v>
      </c>
      <c r="D617" s="382">
        <v>3649227.87</v>
      </c>
      <c r="E617" s="383">
        <v>3649227.87</v>
      </c>
      <c r="F617" s="384">
        <v>0</v>
      </c>
      <c r="G617" s="71" t="str">
        <f t="shared" si="10"/>
        <v>000</v>
      </c>
    </row>
    <row r="618" spans="1:7" s="72" customFormat="1" ht="33.75">
      <c r="A618" s="373" t="s">
        <v>36</v>
      </c>
      <c r="B618" s="374">
        <v>200</v>
      </c>
      <c r="C618" s="372" t="s">
        <v>549</v>
      </c>
      <c r="D618" s="382">
        <v>3649227.87</v>
      </c>
      <c r="E618" s="383">
        <v>3649227.87</v>
      </c>
      <c r="F618" s="384">
        <v>0</v>
      </c>
      <c r="G618" s="71" t="str">
        <f t="shared" si="10"/>
        <v>100</v>
      </c>
    </row>
    <row r="619" spans="1:7" s="70" customFormat="1" ht="12.75">
      <c r="A619" s="373" t="s">
        <v>37</v>
      </c>
      <c r="B619" s="374">
        <v>200</v>
      </c>
      <c r="C619" s="372" t="s">
        <v>550</v>
      </c>
      <c r="D619" s="382">
        <v>3649227.87</v>
      </c>
      <c r="E619" s="383">
        <v>3649227.87</v>
      </c>
      <c r="F619" s="384">
        <v>0</v>
      </c>
      <c r="G619" s="71" t="str">
        <f t="shared" si="10"/>
        <v>120</v>
      </c>
    </row>
    <row r="620" spans="1:7" s="72" customFormat="1" ht="12.75">
      <c r="A620" s="370" t="s">
        <v>1317</v>
      </c>
      <c r="B620" s="371">
        <v>200</v>
      </c>
      <c r="C620" s="369" t="s">
        <v>551</v>
      </c>
      <c r="D620" s="385">
        <v>2822815.92</v>
      </c>
      <c r="E620" s="380">
        <v>2822815.92</v>
      </c>
      <c r="F620" s="386">
        <v>0</v>
      </c>
      <c r="G620" s="71" t="str">
        <f t="shared" si="10"/>
        <v>121</v>
      </c>
    </row>
    <row r="621" spans="1:7" s="72" customFormat="1" ht="33.75">
      <c r="A621" s="370" t="s">
        <v>1318</v>
      </c>
      <c r="B621" s="371">
        <v>200</v>
      </c>
      <c r="C621" s="369" t="s">
        <v>552</v>
      </c>
      <c r="D621" s="385">
        <v>826411.95</v>
      </c>
      <c r="E621" s="380">
        <v>826411.95</v>
      </c>
      <c r="F621" s="386">
        <v>0</v>
      </c>
      <c r="G621" s="71" t="str">
        <f t="shared" si="10"/>
        <v>129</v>
      </c>
    </row>
    <row r="622" spans="1:7" s="72" customFormat="1" ht="33.75">
      <c r="A622" s="373" t="s">
        <v>2254</v>
      </c>
      <c r="B622" s="374">
        <v>200</v>
      </c>
      <c r="C622" s="372" t="s">
        <v>2293</v>
      </c>
      <c r="D622" s="382">
        <v>846110.82</v>
      </c>
      <c r="E622" s="383">
        <v>846110.82</v>
      </c>
      <c r="F622" s="384">
        <v>0</v>
      </c>
      <c r="G622" s="71" t="str">
        <f t="shared" si="10"/>
        <v>000</v>
      </c>
    </row>
    <row r="623" spans="1:7" s="72" customFormat="1" ht="33.75">
      <c r="A623" s="373" t="s">
        <v>36</v>
      </c>
      <c r="B623" s="374">
        <v>200</v>
      </c>
      <c r="C623" s="372" t="s">
        <v>2294</v>
      </c>
      <c r="D623" s="382">
        <v>846110.82</v>
      </c>
      <c r="E623" s="383">
        <v>846110.82</v>
      </c>
      <c r="F623" s="384">
        <v>0</v>
      </c>
      <c r="G623" s="71" t="str">
        <f t="shared" si="10"/>
        <v>100</v>
      </c>
    </row>
    <row r="624" spans="1:7" s="72" customFormat="1" ht="12.75">
      <c r="A624" s="373" t="s">
        <v>37</v>
      </c>
      <c r="B624" s="374">
        <v>200</v>
      </c>
      <c r="C624" s="372" t="s">
        <v>2295</v>
      </c>
      <c r="D624" s="382">
        <v>846110.82</v>
      </c>
      <c r="E624" s="383">
        <v>846110.82</v>
      </c>
      <c r="F624" s="384">
        <v>0</v>
      </c>
      <c r="G624" s="71" t="str">
        <f t="shared" si="10"/>
        <v>120</v>
      </c>
    </row>
    <row r="625" spans="1:7" s="72" customFormat="1" ht="12.75">
      <c r="A625" s="370" t="s">
        <v>1317</v>
      </c>
      <c r="B625" s="371">
        <v>200</v>
      </c>
      <c r="C625" s="369" t="s">
        <v>2296</v>
      </c>
      <c r="D625" s="385">
        <v>684910.82</v>
      </c>
      <c r="E625" s="380">
        <v>684910.82</v>
      </c>
      <c r="F625" s="386">
        <v>0</v>
      </c>
      <c r="G625" s="71" t="str">
        <f t="shared" si="10"/>
        <v>121</v>
      </c>
    </row>
    <row r="626" spans="1:7" s="72" customFormat="1" ht="33.75">
      <c r="A626" s="370" t="s">
        <v>1318</v>
      </c>
      <c r="B626" s="371">
        <v>200</v>
      </c>
      <c r="C626" s="369" t="s">
        <v>2297</v>
      </c>
      <c r="D626" s="385">
        <v>161200</v>
      </c>
      <c r="E626" s="380">
        <v>161200</v>
      </c>
      <c r="F626" s="386">
        <v>0</v>
      </c>
      <c r="G626" s="71" t="str">
        <f t="shared" si="10"/>
        <v>129</v>
      </c>
    </row>
    <row r="627" spans="1:7" s="72" customFormat="1" ht="22.5">
      <c r="A627" s="373" t="s">
        <v>1811</v>
      </c>
      <c r="B627" s="374">
        <v>200</v>
      </c>
      <c r="C627" s="372" t="s">
        <v>1869</v>
      </c>
      <c r="D627" s="382">
        <v>584951</v>
      </c>
      <c r="E627" s="383">
        <v>584951</v>
      </c>
      <c r="F627" s="384">
        <v>0</v>
      </c>
      <c r="G627" s="71" t="str">
        <f t="shared" si="10"/>
        <v>000</v>
      </c>
    </row>
    <row r="628" spans="1:7" s="72" customFormat="1" ht="33.75">
      <c r="A628" s="373" t="s">
        <v>36</v>
      </c>
      <c r="B628" s="374">
        <v>200</v>
      </c>
      <c r="C628" s="372" t="s">
        <v>1870</v>
      </c>
      <c r="D628" s="382">
        <v>584951</v>
      </c>
      <c r="E628" s="383">
        <v>584951</v>
      </c>
      <c r="F628" s="384">
        <v>0</v>
      </c>
      <c r="G628" s="71" t="str">
        <f t="shared" si="10"/>
        <v>100</v>
      </c>
    </row>
    <row r="629" spans="1:7" s="72" customFormat="1" ht="12.75">
      <c r="A629" s="373" t="s">
        <v>37</v>
      </c>
      <c r="B629" s="374">
        <v>200</v>
      </c>
      <c r="C629" s="372" t="s">
        <v>1871</v>
      </c>
      <c r="D629" s="382">
        <v>584951</v>
      </c>
      <c r="E629" s="383">
        <v>584951</v>
      </c>
      <c r="F629" s="384">
        <v>0</v>
      </c>
      <c r="G629" s="71" t="str">
        <f t="shared" si="10"/>
        <v>120</v>
      </c>
    </row>
    <row r="630" spans="1:7" s="72" customFormat="1" ht="12.75">
      <c r="A630" s="370" t="s">
        <v>1317</v>
      </c>
      <c r="B630" s="371">
        <v>200</v>
      </c>
      <c r="C630" s="369" t="s">
        <v>1872</v>
      </c>
      <c r="D630" s="385">
        <v>449271</v>
      </c>
      <c r="E630" s="380">
        <v>449271</v>
      </c>
      <c r="F630" s="386">
        <v>0</v>
      </c>
      <c r="G630" s="71" t="str">
        <f t="shared" si="10"/>
        <v>121</v>
      </c>
    </row>
    <row r="631" spans="1:7" s="72" customFormat="1" ht="33.75">
      <c r="A631" s="370" t="s">
        <v>1318</v>
      </c>
      <c r="B631" s="371">
        <v>200</v>
      </c>
      <c r="C631" s="369" t="s">
        <v>1873</v>
      </c>
      <c r="D631" s="385">
        <v>135680</v>
      </c>
      <c r="E631" s="380">
        <v>135680</v>
      </c>
      <c r="F631" s="386">
        <v>0</v>
      </c>
      <c r="G631" s="71" t="str">
        <f t="shared" si="10"/>
        <v>129</v>
      </c>
    </row>
    <row r="632" spans="1:7" s="70" customFormat="1" ht="12.75">
      <c r="A632" s="373" t="s">
        <v>553</v>
      </c>
      <c r="B632" s="374">
        <v>200</v>
      </c>
      <c r="C632" s="372" t="s">
        <v>554</v>
      </c>
      <c r="D632" s="382">
        <v>31055622.16</v>
      </c>
      <c r="E632" s="383">
        <v>30092438.79</v>
      </c>
      <c r="F632" s="384">
        <v>963183.37</v>
      </c>
      <c r="G632" s="71" t="str">
        <f t="shared" si="10"/>
        <v>000</v>
      </c>
    </row>
    <row r="633" spans="1:7" s="70" customFormat="1" ht="12.75">
      <c r="A633" s="373" t="s">
        <v>94</v>
      </c>
      <c r="B633" s="374">
        <v>200</v>
      </c>
      <c r="C633" s="372" t="s">
        <v>555</v>
      </c>
      <c r="D633" s="382">
        <v>31055622.16</v>
      </c>
      <c r="E633" s="383">
        <v>30092438.79</v>
      </c>
      <c r="F633" s="384">
        <v>963183.37</v>
      </c>
      <c r="G633" s="71" t="str">
        <f t="shared" si="10"/>
        <v>000</v>
      </c>
    </row>
    <row r="634" spans="1:7" s="70" customFormat="1" ht="33.75">
      <c r="A634" s="373" t="s">
        <v>430</v>
      </c>
      <c r="B634" s="374">
        <v>200</v>
      </c>
      <c r="C634" s="372" t="s">
        <v>556</v>
      </c>
      <c r="D634" s="382">
        <v>31055622.16</v>
      </c>
      <c r="E634" s="383">
        <v>30092438.79</v>
      </c>
      <c r="F634" s="384">
        <v>963183.37</v>
      </c>
      <c r="G634" s="71" t="str">
        <f t="shared" si="10"/>
        <v>000</v>
      </c>
    </row>
    <row r="635" spans="1:7" s="70" customFormat="1" ht="12.75">
      <c r="A635" s="373" t="s">
        <v>243</v>
      </c>
      <c r="B635" s="374">
        <v>200</v>
      </c>
      <c r="C635" s="372" t="s">
        <v>557</v>
      </c>
      <c r="D635" s="382">
        <v>31055622.16</v>
      </c>
      <c r="E635" s="383">
        <v>30092438.79</v>
      </c>
      <c r="F635" s="384">
        <v>963183.37</v>
      </c>
      <c r="G635" s="71" t="str">
        <f t="shared" si="10"/>
        <v>000</v>
      </c>
    </row>
    <row r="636" spans="1:7" s="72" customFormat="1" ht="12.75">
      <c r="A636" s="373" t="s">
        <v>12</v>
      </c>
      <c r="B636" s="374">
        <v>200</v>
      </c>
      <c r="C636" s="372" t="s">
        <v>558</v>
      </c>
      <c r="D636" s="382">
        <v>4538457.49</v>
      </c>
      <c r="E636" s="383">
        <v>4538457.49</v>
      </c>
      <c r="F636" s="384">
        <v>0</v>
      </c>
      <c r="G636" s="71" t="str">
        <f t="shared" si="10"/>
        <v>000</v>
      </c>
    </row>
    <row r="637" spans="1:7" s="70" customFormat="1" ht="33.75">
      <c r="A637" s="373" t="s">
        <v>36</v>
      </c>
      <c r="B637" s="374">
        <v>200</v>
      </c>
      <c r="C637" s="372" t="s">
        <v>559</v>
      </c>
      <c r="D637" s="382">
        <v>4538457.49</v>
      </c>
      <c r="E637" s="383">
        <v>4538457.49</v>
      </c>
      <c r="F637" s="384">
        <v>0</v>
      </c>
      <c r="G637" s="71" t="str">
        <f t="shared" si="10"/>
        <v>100</v>
      </c>
    </row>
    <row r="638" spans="1:7" s="72" customFormat="1" ht="12.75">
      <c r="A638" s="373" t="s">
        <v>37</v>
      </c>
      <c r="B638" s="374">
        <v>200</v>
      </c>
      <c r="C638" s="372" t="s">
        <v>560</v>
      </c>
      <c r="D638" s="382">
        <v>4538457.49</v>
      </c>
      <c r="E638" s="383">
        <v>4538457.49</v>
      </c>
      <c r="F638" s="384">
        <v>0</v>
      </c>
      <c r="G638" s="71" t="str">
        <f t="shared" si="10"/>
        <v>120</v>
      </c>
    </row>
    <row r="639" spans="1:7" s="72" customFormat="1" ht="12.75">
      <c r="A639" s="370" t="s">
        <v>1317</v>
      </c>
      <c r="B639" s="371">
        <v>200</v>
      </c>
      <c r="C639" s="369" t="s">
        <v>561</v>
      </c>
      <c r="D639" s="385">
        <v>3709637.58</v>
      </c>
      <c r="E639" s="380">
        <v>3709637.58</v>
      </c>
      <c r="F639" s="386">
        <v>0</v>
      </c>
      <c r="G639" s="71" t="str">
        <f t="shared" si="10"/>
        <v>121</v>
      </c>
    </row>
    <row r="640" spans="1:7" s="72" customFormat="1" ht="33.75">
      <c r="A640" s="370" t="s">
        <v>1318</v>
      </c>
      <c r="B640" s="371">
        <v>200</v>
      </c>
      <c r="C640" s="369" t="s">
        <v>562</v>
      </c>
      <c r="D640" s="385">
        <v>828819.91</v>
      </c>
      <c r="E640" s="380">
        <v>828819.91</v>
      </c>
      <c r="F640" s="386">
        <v>0</v>
      </c>
      <c r="G640" s="71" t="str">
        <f t="shared" si="10"/>
        <v>129</v>
      </c>
    </row>
    <row r="641" spans="1:7" s="72" customFormat="1" ht="12.75">
      <c r="A641" s="373" t="s">
        <v>1299</v>
      </c>
      <c r="B641" s="374">
        <v>200</v>
      </c>
      <c r="C641" s="372" t="s">
        <v>563</v>
      </c>
      <c r="D641" s="382">
        <v>21731992.89</v>
      </c>
      <c r="E641" s="383">
        <v>20895489.83</v>
      </c>
      <c r="F641" s="384">
        <v>836503.06</v>
      </c>
      <c r="G641" s="71" t="str">
        <f t="shared" si="10"/>
        <v>000</v>
      </c>
    </row>
    <row r="642" spans="1:7" s="72" customFormat="1" ht="33.75">
      <c r="A642" s="373" t="s">
        <v>36</v>
      </c>
      <c r="B642" s="374">
        <v>200</v>
      </c>
      <c r="C642" s="372" t="s">
        <v>564</v>
      </c>
      <c r="D642" s="382">
        <v>15761805.89</v>
      </c>
      <c r="E642" s="383">
        <v>15512252.23</v>
      </c>
      <c r="F642" s="384">
        <v>249553.66</v>
      </c>
      <c r="G642" s="71" t="str">
        <f t="shared" si="10"/>
        <v>100</v>
      </c>
    </row>
    <row r="643" spans="1:7" s="70" customFormat="1" ht="12.75">
      <c r="A643" s="373" t="s">
        <v>37</v>
      </c>
      <c r="B643" s="374">
        <v>200</v>
      </c>
      <c r="C643" s="372" t="s">
        <v>565</v>
      </c>
      <c r="D643" s="382">
        <v>15761805.89</v>
      </c>
      <c r="E643" s="383">
        <v>15512252.23</v>
      </c>
      <c r="F643" s="384">
        <v>249553.66</v>
      </c>
      <c r="G643" s="71" t="str">
        <f t="shared" si="10"/>
        <v>120</v>
      </c>
    </row>
    <row r="644" spans="1:7" s="72" customFormat="1" ht="12.75">
      <c r="A644" s="370" t="s">
        <v>1317</v>
      </c>
      <c r="B644" s="371">
        <v>200</v>
      </c>
      <c r="C644" s="369" t="s">
        <v>566</v>
      </c>
      <c r="D644" s="385">
        <v>9964236.06</v>
      </c>
      <c r="E644" s="380">
        <v>9964236.06</v>
      </c>
      <c r="F644" s="386">
        <v>0</v>
      </c>
      <c r="G644" s="71" t="str">
        <f aca="true" t="shared" si="11" ref="G644:G699">RIGHT(C644,3)</f>
        <v>121</v>
      </c>
    </row>
    <row r="645" spans="1:7" s="70" customFormat="1" ht="22.5">
      <c r="A645" s="370" t="s">
        <v>244</v>
      </c>
      <c r="B645" s="371">
        <v>200</v>
      </c>
      <c r="C645" s="369" t="s">
        <v>567</v>
      </c>
      <c r="D645" s="385">
        <v>1670027</v>
      </c>
      <c r="E645" s="380">
        <v>1499013.36</v>
      </c>
      <c r="F645" s="386">
        <v>171013.64</v>
      </c>
      <c r="G645" s="71" t="str">
        <f t="shared" si="11"/>
        <v>122</v>
      </c>
    </row>
    <row r="646" spans="1:7" s="72" customFormat="1" ht="33.75">
      <c r="A646" s="370" t="s">
        <v>1987</v>
      </c>
      <c r="B646" s="371">
        <v>200</v>
      </c>
      <c r="C646" s="369" t="s">
        <v>1988</v>
      </c>
      <c r="D646" s="385">
        <v>1308803</v>
      </c>
      <c r="E646" s="380">
        <v>1277150.27</v>
      </c>
      <c r="F646" s="386">
        <v>31652.73</v>
      </c>
      <c r="G646" s="71" t="str">
        <f t="shared" si="11"/>
        <v>123</v>
      </c>
    </row>
    <row r="647" spans="1:7" s="72" customFormat="1" ht="33.75">
      <c r="A647" s="370" t="s">
        <v>1318</v>
      </c>
      <c r="B647" s="371">
        <v>200</v>
      </c>
      <c r="C647" s="369" t="s">
        <v>568</v>
      </c>
      <c r="D647" s="385">
        <v>2818739.83</v>
      </c>
      <c r="E647" s="380">
        <v>2771852.54</v>
      </c>
      <c r="F647" s="386">
        <v>46887.29</v>
      </c>
      <c r="G647" s="71" t="str">
        <f t="shared" si="11"/>
        <v>129</v>
      </c>
    </row>
    <row r="648" spans="1:7" s="70" customFormat="1" ht="22.5">
      <c r="A648" s="373" t="s">
        <v>411</v>
      </c>
      <c r="B648" s="374">
        <v>200</v>
      </c>
      <c r="C648" s="372" t="s">
        <v>291</v>
      </c>
      <c r="D648" s="382">
        <v>5969646.77</v>
      </c>
      <c r="E648" s="383">
        <v>5382697.37</v>
      </c>
      <c r="F648" s="384">
        <v>586949.4</v>
      </c>
      <c r="G648" s="71" t="str">
        <f t="shared" si="11"/>
        <v>200</v>
      </c>
    </row>
    <row r="649" spans="1:7" s="72" customFormat="1" ht="22.5">
      <c r="A649" s="373" t="s">
        <v>38</v>
      </c>
      <c r="B649" s="374">
        <v>200</v>
      </c>
      <c r="C649" s="372" t="s">
        <v>292</v>
      </c>
      <c r="D649" s="382">
        <v>5969646.77</v>
      </c>
      <c r="E649" s="383">
        <v>5382697.37</v>
      </c>
      <c r="F649" s="384">
        <v>586949.4</v>
      </c>
      <c r="G649" s="71" t="str">
        <f t="shared" si="11"/>
        <v>240</v>
      </c>
    </row>
    <row r="650" spans="1:7" s="72" customFormat="1" ht="12.75">
      <c r="A650" s="370" t="s">
        <v>1658</v>
      </c>
      <c r="B650" s="371">
        <v>200</v>
      </c>
      <c r="C650" s="369" t="s">
        <v>293</v>
      </c>
      <c r="D650" s="385">
        <v>5969646.77</v>
      </c>
      <c r="E650" s="380">
        <v>5382697.37</v>
      </c>
      <c r="F650" s="386">
        <v>586949.4</v>
      </c>
      <c r="G650" s="71" t="str">
        <f t="shared" si="11"/>
        <v>244</v>
      </c>
    </row>
    <row r="651" spans="1:7" s="72" customFormat="1" ht="12.75">
      <c r="A651" s="373" t="s">
        <v>39</v>
      </c>
      <c r="B651" s="374">
        <v>200</v>
      </c>
      <c r="C651" s="372" t="s">
        <v>2407</v>
      </c>
      <c r="D651" s="382">
        <v>540.23</v>
      </c>
      <c r="E651" s="383">
        <v>540.23</v>
      </c>
      <c r="F651" s="384">
        <v>0</v>
      </c>
      <c r="G651" s="71" t="str">
        <f t="shared" si="11"/>
        <v>800</v>
      </c>
    </row>
    <row r="652" spans="1:7" s="72" customFormat="1" ht="12.75">
      <c r="A652" s="373" t="s">
        <v>40</v>
      </c>
      <c r="B652" s="374">
        <v>200</v>
      </c>
      <c r="C652" s="372" t="s">
        <v>2408</v>
      </c>
      <c r="D652" s="382">
        <v>540.23</v>
      </c>
      <c r="E652" s="383">
        <v>540.23</v>
      </c>
      <c r="F652" s="384">
        <v>0</v>
      </c>
      <c r="G652" s="71" t="str">
        <f t="shared" si="11"/>
        <v>850</v>
      </c>
    </row>
    <row r="653" spans="1:7" s="72" customFormat="1" ht="12.75">
      <c r="A653" s="370" t="s">
        <v>1375</v>
      </c>
      <c r="B653" s="371">
        <v>200</v>
      </c>
      <c r="C653" s="369" t="s">
        <v>2409</v>
      </c>
      <c r="D653" s="385">
        <v>540.23</v>
      </c>
      <c r="E653" s="380">
        <v>540.23</v>
      </c>
      <c r="F653" s="386">
        <v>0</v>
      </c>
      <c r="G653" s="71" t="str">
        <f t="shared" si="11"/>
        <v>853</v>
      </c>
    </row>
    <row r="654" spans="1:7" s="72" customFormat="1" ht="45">
      <c r="A654" s="377" t="s">
        <v>1593</v>
      </c>
      <c r="B654" s="374">
        <v>200</v>
      </c>
      <c r="C654" s="372" t="s">
        <v>569</v>
      </c>
      <c r="D654" s="382">
        <v>2977419</v>
      </c>
      <c r="E654" s="383">
        <v>2850738.69</v>
      </c>
      <c r="F654" s="384">
        <v>126680.31</v>
      </c>
      <c r="G654" s="71" t="str">
        <f t="shared" si="11"/>
        <v>000</v>
      </c>
    </row>
    <row r="655" spans="1:7" s="72" customFormat="1" ht="33.75">
      <c r="A655" s="373" t="s">
        <v>36</v>
      </c>
      <c r="B655" s="374">
        <v>200</v>
      </c>
      <c r="C655" s="372" t="s">
        <v>570</v>
      </c>
      <c r="D655" s="382">
        <v>2977419</v>
      </c>
      <c r="E655" s="383">
        <v>2850738.69</v>
      </c>
      <c r="F655" s="384">
        <v>126680.31</v>
      </c>
      <c r="G655" s="71" t="str">
        <f t="shared" si="11"/>
        <v>100</v>
      </c>
    </row>
    <row r="656" spans="1:7" s="72" customFormat="1" ht="12.75">
      <c r="A656" s="373" t="s">
        <v>37</v>
      </c>
      <c r="B656" s="374">
        <v>200</v>
      </c>
      <c r="C656" s="372" t="s">
        <v>571</v>
      </c>
      <c r="D656" s="382">
        <v>2977419</v>
      </c>
      <c r="E656" s="383">
        <v>2850738.69</v>
      </c>
      <c r="F656" s="384">
        <v>126680.31</v>
      </c>
      <c r="G656" s="71" t="str">
        <f t="shared" si="11"/>
        <v>120</v>
      </c>
    </row>
    <row r="657" spans="1:7" s="72" customFormat="1" ht="12.75">
      <c r="A657" s="370" t="s">
        <v>1317</v>
      </c>
      <c r="B657" s="371">
        <v>200</v>
      </c>
      <c r="C657" s="369" t="s">
        <v>572</v>
      </c>
      <c r="D657" s="385">
        <v>2331586</v>
      </c>
      <c r="E657" s="380">
        <v>2258063.36</v>
      </c>
      <c r="F657" s="386">
        <v>73522.64</v>
      </c>
      <c r="G657" s="71" t="str">
        <f t="shared" si="11"/>
        <v>121</v>
      </c>
    </row>
    <row r="658" spans="1:7" s="72" customFormat="1" ht="33.75">
      <c r="A658" s="370" t="s">
        <v>1318</v>
      </c>
      <c r="B658" s="371">
        <v>200</v>
      </c>
      <c r="C658" s="369" t="s">
        <v>573</v>
      </c>
      <c r="D658" s="385">
        <v>645833</v>
      </c>
      <c r="E658" s="380">
        <v>592675.33</v>
      </c>
      <c r="F658" s="386">
        <v>53157.67</v>
      </c>
      <c r="G658" s="71" t="str">
        <f t="shared" si="11"/>
        <v>129</v>
      </c>
    </row>
    <row r="659" spans="1:7" s="72" customFormat="1" ht="33.75">
      <c r="A659" s="373" t="s">
        <v>2254</v>
      </c>
      <c r="B659" s="374">
        <v>200</v>
      </c>
      <c r="C659" s="372" t="s">
        <v>2298</v>
      </c>
      <c r="D659" s="382">
        <v>1087264.78</v>
      </c>
      <c r="E659" s="383">
        <v>1087264.78</v>
      </c>
      <c r="F659" s="384">
        <v>0</v>
      </c>
      <c r="G659" s="71" t="str">
        <f t="shared" si="11"/>
        <v>000</v>
      </c>
    </row>
    <row r="660" spans="1:7" s="72" customFormat="1" ht="33.75">
      <c r="A660" s="373" t="s">
        <v>36</v>
      </c>
      <c r="B660" s="374">
        <v>200</v>
      </c>
      <c r="C660" s="372" t="s">
        <v>2299</v>
      </c>
      <c r="D660" s="382">
        <v>1087264.78</v>
      </c>
      <c r="E660" s="383">
        <v>1087264.78</v>
      </c>
      <c r="F660" s="384">
        <v>0</v>
      </c>
      <c r="G660" s="71" t="str">
        <f t="shared" si="11"/>
        <v>100</v>
      </c>
    </row>
    <row r="661" spans="1:7" s="72" customFormat="1" ht="12.75">
      <c r="A661" s="373" t="s">
        <v>37</v>
      </c>
      <c r="B661" s="374">
        <v>200</v>
      </c>
      <c r="C661" s="372" t="s">
        <v>2300</v>
      </c>
      <c r="D661" s="382">
        <v>1087264.78</v>
      </c>
      <c r="E661" s="383">
        <v>1087264.78</v>
      </c>
      <c r="F661" s="384">
        <v>0</v>
      </c>
      <c r="G661" s="71" t="str">
        <f t="shared" si="11"/>
        <v>120</v>
      </c>
    </row>
    <row r="662" spans="1:7" s="72" customFormat="1" ht="12.75">
      <c r="A662" s="370" t="s">
        <v>1317</v>
      </c>
      <c r="B662" s="371">
        <v>200</v>
      </c>
      <c r="C662" s="369" t="s">
        <v>2301</v>
      </c>
      <c r="D662" s="385">
        <v>867717.27</v>
      </c>
      <c r="E662" s="380">
        <v>867717.27</v>
      </c>
      <c r="F662" s="386">
        <v>0</v>
      </c>
      <c r="G662" s="71" t="str">
        <f t="shared" si="11"/>
        <v>121</v>
      </c>
    </row>
    <row r="663" spans="1:7" s="72" customFormat="1" ht="33.75">
      <c r="A663" s="370" t="s">
        <v>1318</v>
      </c>
      <c r="B663" s="371">
        <v>200</v>
      </c>
      <c r="C663" s="369" t="s">
        <v>2302</v>
      </c>
      <c r="D663" s="385">
        <v>219547.51</v>
      </c>
      <c r="E663" s="380">
        <v>219547.51</v>
      </c>
      <c r="F663" s="386">
        <v>0</v>
      </c>
      <c r="G663" s="71" t="str">
        <f t="shared" si="11"/>
        <v>129</v>
      </c>
    </row>
    <row r="664" spans="1:7" s="72" customFormat="1" ht="22.5">
      <c r="A664" s="373" t="s">
        <v>1811</v>
      </c>
      <c r="B664" s="374">
        <v>200</v>
      </c>
      <c r="C664" s="372" t="s">
        <v>1874</v>
      </c>
      <c r="D664" s="382">
        <v>720488</v>
      </c>
      <c r="E664" s="383">
        <v>720488</v>
      </c>
      <c r="F664" s="384">
        <v>0</v>
      </c>
      <c r="G664" s="71" t="str">
        <f t="shared" si="11"/>
        <v>000</v>
      </c>
    </row>
    <row r="665" spans="1:7" s="72" customFormat="1" ht="33.75">
      <c r="A665" s="373" t="s">
        <v>36</v>
      </c>
      <c r="B665" s="374">
        <v>200</v>
      </c>
      <c r="C665" s="372" t="s">
        <v>1875</v>
      </c>
      <c r="D665" s="382">
        <v>720488</v>
      </c>
      <c r="E665" s="383">
        <v>720488</v>
      </c>
      <c r="F665" s="384">
        <v>0</v>
      </c>
      <c r="G665" s="71" t="str">
        <f t="shared" si="11"/>
        <v>100</v>
      </c>
    </row>
    <row r="666" spans="1:7" s="72" customFormat="1" ht="12.75">
      <c r="A666" s="373" t="s">
        <v>37</v>
      </c>
      <c r="B666" s="374">
        <v>200</v>
      </c>
      <c r="C666" s="372" t="s">
        <v>1876</v>
      </c>
      <c r="D666" s="382">
        <v>720488</v>
      </c>
      <c r="E666" s="383">
        <v>720488</v>
      </c>
      <c r="F666" s="384">
        <v>0</v>
      </c>
      <c r="G666" s="71" t="str">
        <f t="shared" si="11"/>
        <v>120</v>
      </c>
    </row>
    <row r="667" spans="1:7" s="72" customFormat="1" ht="12.75">
      <c r="A667" s="370" t="s">
        <v>1317</v>
      </c>
      <c r="B667" s="371">
        <v>200</v>
      </c>
      <c r="C667" s="369" t="s">
        <v>1877</v>
      </c>
      <c r="D667" s="385">
        <v>553370</v>
      </c>
      <c r="E667" s="380">
        <v>553370</v>
      </c>
      <c r="F667" s="386">
        <v>0</v>
      </c>
      <c r="G667" s="71" t="str">
        <f t="shared" si="11"/>
        <v>121</v>
      </c>
    </row>
    <row r="668" spans="1:7" s="72" customFormat="1" ht="33.75">
      <c r="A668" s="370" t="s">
        <v>1318</v>
      </c>
      <c r="B668" s="371">
        <v>200</v>
      </c>
      <c r="C668" s="369" t="s">
        <v>1878</v>
      </c>
      <c r="D668" s="385">
        <v>167118</v>
      </c>
      <c r="E668" s="380">
        <v>167118</v>
      </c>
      <c r="F668" s="386">
        <v>0</v>
      </c>
      <c r="G668" s="71" t="str">
        <f t="shared" si="11"/>
        <v>129</v>
      </c>
    </row>
    <row r="669" spans="1:7" s="72" customFormat="1" ht="22.5">
      <c r="A669" s="373" t="s">
        <v>574</v>
      </c>
      <c r="B669" s="374">
        <v>200</v>
      </c>
      <c r="C669" s="372" t="s">
        <v>575</v>
      </c>
      <c r="D669" s="382">
        <v>1804323130.86</v>
      </c>
      <c r="E669" s="383">
        <v>1657866139.45</v>
      </c>
      <c r="F669" s="384">
        <v>146456991.41</v>
      </c>
      <c r="G669" s="71" t="str">
        <f t="shared" si="11"/>
        <v>000</v>
      </c>
    </row>
    <row r="670" spans="1:7" s="72" customFormat="1" ht="12.75">
      <c r="A670" s="373" t="s">
        <v>94</v>
      </c>
      <c r="B670" s="374">
        <v>200</v>
      </c>
      <c r="C670" s="372" t="s">
        <v>576</v>
      </c>
      <c r="D670" s="382">
        <v>27725034.23</v>
      </c>
      <c r="E670" s="383">
        <v>26250706.64</v>
      </c>
      <c r="F670" s="384">
        <v>1474327.59</v>
      </c>
      <c r="G670" s="71" t="str">
        <f t="shared" si="11"/>
        <v>000</v>
      </c>
    </row>
    <row r="671" spans="1:7" s="72" customFormat="1" ht="12.75">
      <c r="A671" s="373" t="s">
        <v>1405</v>
      </c>
      <c r="B671" s="374">
        <v>200</v>
      </c>
      <c r="C671" s="372" t="s">
        <v>577</v>
      </c>
      <c r="D671" s="382">
        <v>27725034.23</v>
      </c>
      <c r="E671" s="383">
        <v>26250706.64</v>
      </c>
      <c r="F671" s="384">
        <v>1474327.59</v>
      </c>
      <c r="G671" s="71" t="str">
        <f t="shared" si="11"/>
        <v>000</v>
      </c>
    </row>
    <row r="672" spans="1:7" s="72" customFormat="1" ht="56.25">
      <c r="A672" s="377" t="s">
        <v>1604</v>
      </c>
      <c r="B672" s="374">
        <v>200</v>
      </c>
      <c r="C672" s="372" t="s">
        <v>578</v>
      </c>
      <c r="D672" s="382">
        <v>27725034.23</v>
      </c>
      <c r="E672" s="383">
        <v>26250706.64</v>
      </c>
      <c r="F672" s="384">
        <v>1474327.59</v>
      </c>
      <c r="G672" s="71" t="str">
        <f t="shared" si="11"/>
        <v>000</v>
      </c>
    </row>
    <row r="673" spans="1:7" s="72" customFormat="1" ht="12.75">
      <c r="A673" s="373" t="s">
        <v>1299</v>
      </c>
      <c r="B673" s="374">
        <v>200</v>
      </c>
      <c r="C673" s="372" t="s">
        <v>579</v>
      </c>
      <c r="D673" s="382">
        <v>24010982.87</v>
      </c>
      <c r="E673" s="383">
        <v>22704570.61</v>
      </c>
      <c r="F673" s="384">
        <v>1306412.26</v>
      </c>
      <c r="G673" s="71" t="str">
        <f t="shared" si="11"/>
        <v>000</v>
      </c>
    </row>
    <row r="674" spans="1:7" s="72" customFormat="1" ht="33.75">
      <c r="A674" s="373" t="s">
        <v>36</v>
      </c>
      <c r="B674" s="374">
        <v>200</v>
      </c>
      <c r="C674" s="372" t="s">
        <v>580</v>
      </c>
      <c r="D674" s="382">
        <v>18827909.95</v>
      </c>
      <c r="E674" s="383">
        <v>17741929.35</v>
      </c>
      <c r="F674" s="384">
        <v>1085980.6</v>
      </c>
      <c r="G674" s="71" t="str">
        <f t="shared" si="11"/>
        <v>100</v>
      </c>
    </row>
    <row r="675" spans="1:7" s="70" customFormat="1" ht="12.75">
      <c r="A675" s="373" t="s">
        <v>37</v>
      </c>
      <c r="B675" s="374">
        <v>200</v>
      </c>
      <c r="C675" s="372" t="s">
        <v>581</v>
      </c>
      <c r="D675" s="382">
        <v>18827909.95</v>
      </c>
      <c r="E675" s="383">
        <v>17741929.35</v>
      </c>
      <c r="F675" s="384">
        <v>1085980.6</v>
      </c>
      <c r="G675" s="71" t="str">
        <f t="shared" si="11"/>
        <v>120</v>
      </c>
    </row>
    <row r="676" spans="1:7" ht="12.75">
      <c r="A676" s="370" t="s">
        <v>1317</v>
      </c>
      <c r="B676" s="371">
        <v>200</v>
      </c>
      <c r="C676" s="369" t="s">
        <v>582</v>
      </c>
      <c r="D676" s="385">
        <v>13425476.16</v>
      </c>
      <c r="E676" s="380">
        <v>12789415.24</v>
      </c>
      <c r="F676" s="386">
        <v>636060.92</v>
      </c>
      <c r="G676" s="71" t="str">
        <f t="shared" si="11"/>
        <v>121</v>
      </c>
    </row>
    <row r="677" spans="1:7" ht="22.5">
      <c r="A677" s="370" t="s">
        <v>244</v>
      </c>
      <c r="B677" s="371">
        <v>200</v>
      </c>
      <c r="C677" s="369" t="s">
        <v>583</v>
      </c>
      <c r="D677" s="385">
        <v>1413000</v>
      </c>
      <c r="E677" s="380">
        <v>1223543.84</v>
      </c>
      <c r="F677" s="386">
        <v>189456.16</v>
      </c>
      <c r="G677" s="71" t="str">
        <f t="shared" si="11"/>
        <v>122</v>
      </c>
    </row>
    <row r="678" spans="1:7" ht="33.75">
      <c r="A678" s="370" t="s">
        <v>1318</v>
      </c>
      <c r="B678" s="371">
        <v>200</v>
      </c>
      <c r="C678" s="369" t="s">
        <v>584</v>
      </c>
      <c r="D678" s="385">
        <v>3989433.79</v>
      </c>
      <c r="E678" s="380">
        <v>3728970.27</v>
      </c>
      <c r="F678" s="386">
        <v>260463.52</v>
      </c>
      <c r="G678" s="71" t="str">
        <f t="shared" si="11"/>
        <v>129</v>
      </c>
    </row>
    <row r="679" spans="1:7" ht="22.5">
      <c r="A679" s="373" t="s">
        <v>411</v>
      </c>
      <c r="B679" s="374">
        <v>200</v>
      </c>
      <c r="C679" s="372" t="s">
        <v>585</v>
      </c>
      <c r="D679" s="382">
        <v>5093072.92</v>
      </c>
      <c r="E679" s="383">
        <v>4872641.26</v>
      </c>
      <c r="F679" s="384">
        <v>220431.66</v>
      </c>
      <c r="G679" s="71" t="str">
        <f t="shared" si="11"/>
        <v>200</v>
      </c>
    </row>
    <row r="680" spans="1:7" ht="22.5">
      <c r="A680" s="373" t="s">
        <v>38</v>
      </c>
      <c r="B680" s="374">
        <v>200</v>
      </c>
      <c r="C680" s="372" t="s">
        <v>149</v>
      </c>
      <c r="D680" s="382">
        <v>5093072.92</v>
      </c>
      <c r="E680" s="383">
        <v>4872641.26</v>
      </c>
      <c r="F680" s="384">
        <v>220431.66</v>
      </c>
      <c r="G680" s="71" t="str">
        <f t="shared" si="11"/>
        <v>240</v>
      </c>
    </row>
    <row r="681" spans="1:7" ht="12.75">
      <c r="A681" s="370" t="s">
        <v>1658</v>
      </c>
      <c r="B681" s="371">
        <v>200</v>
      </c>
      <c r="C681" s="369" t="s">
        <v>150</v>
      </c>
      <c r="D681" s="385">
        <v>5093072.92</v>
      </c>
      <c r="E681" s="380">
        <v>4872641.26</v>
      </c>
      <c r="F681" s="386">
        <v>220431.66</v>
      </c>
      <c r="G681" s="71" t="str">
        <f t="shared" si="11"/>
        <v>244</v>
      </c>
    </row>
    <row r="682" spans="1:7" ht="12.75">
      <c r="A682" s="373" t="s">
        <v>39</v>
      </c>
      <c r="B682" s="374">
        <v>200</v>
      </c>
      <c r="C682" s="372" t="s">
        <v>151</v>
      </c>
      <c r="D682" s="382">
        <v>90000</v>
      </c>
      <c r="E682" s="383">
        <v>90000</v>
      </c>
      <c r="F682" s="384">
        <v>0</v>
      </c>
      <c r="G682" s="71" t="str">
        <f t="shared" si="11"/>
        <v>800</v>
      </c>
    </row>
    <row r="683" spans="1:7" ht="12.75">
      <c r="A683" s="373" t="s">
        <v>40</v>
      </c>
      <c r="B683" s="374">
        <v>200</v>
      </c>
      <c r="C683" s="372" t="s">
        <v>152</v>
      </c>
      <c r="D683" s="382">
        <v>90000</v>
      </c>
      <c r="E683" s="383">
        <v>90000</v>
      </c>
      <c r="F683" s="384">
        <v>0</v>
      </c>
      <c r="G683" s="71" t="str">
        <f t="shared" si="11"/>
        <v>850</v>
      </c>
    </row>
    <row r="684" spans="1:7" ht="12.75">
      <c r="A684" s="370" t="s">
        <v>1375</v>
      </c>
      <c r="B684" s="371">
        <v>200</v>
      </c>
      <c r="C684" s="369" t="s">
        <v>153</v>
      </c>
      <c r="D684" s="385">
        <v>90000</v>
      </c>
      <c r="E684" s="380">
        <v>90000</v>
      </c>
      <c r="F684" s="386">
        <v>0</v>
      </c>
      <c r="G684" s="71" t="str">
        <f t="shared" si="11"/>
        <v>853</v>
      </c>
    </row>
    <row r="685" spans="1:7" ht="45">
      <c r="A685" s="377" t="s">
        <v>1593</v>
      </c>
      <c r="B685" s="374">
        <v>200</v>
      </c>
      <c r="C685" s="372" t="s">
        <v>935</v>
      </c>
      <c r="D685" s="382">
        <v>1392791.25</v>
      </c>
      <c r="E685" s="383">
        <v>1236675.92</v>
      </c>
      <c r="F685" s="384">
        <v>156115.33</v>
      </c>
      <c r="G685" s="71" t="str">
        <f t="shared" si="11"/>
        <v>000</v>
      </c>
    </row>
    <row r="686" spans="1:7" ht="33.75">
      <c r="A686" s="373" t="s">
        <v>36</v>
      </c>
      <c r="B686" s="374">
        <v>200</v>
      </c>
      <c r="C686" s="372" t="s">
        <v>936</v>
      </c>
      <c r="D686" s="382">
        <v>1392791.25</v>
      </c>
      <c r="E686" s="383">
        <v>1236675.92</v>
      </c>
      <c r="F686" s="384">
        <v>156115.33</v>
      </c>
      <c r="G686" s="71" t="str">
        <f t="shared" si="11"/>
        <v>100</v>
      </c>
    </row>
    <row r="687" spans="1:7" ht="12.75">
      <c r="A687" s="373" t="s">
        <v>37</v>
      </c>
      <c r="B687" s="374">
        <v>200</v>
      </c>
      <c r="C687" s="372" t="s">
        <v>937</v>
      </c>
      <c r="D687" s="382">
        <v>1392791.25</v>
      </c>
      <c r="E687" s="383">
        <v>1236675.92</v>
      </c>
      <c r="F687" s="384">
        <v>156115.33</v>
      </c>
      <c r="G687" s="71" t="str">
        <f t="shared" si="11"/>
        <v>120</v>
      </c>
    </row>
    <row r="688" spans="1:7" ht="12.75">
      <c r="A688" s="370" t="s">
        <v>1317</v>
      </c>
      <c r="B688" s="371">
        <v>200</v>
      </c>
      <c r="C688" s="369" t="s">
        <v>938</v>
      </c>
      <c r="D688" s="385">
        <v>1108616</v>
      </c>
      <c r="E688" s="380">
        <v>969301.29</v>
      </c>
      <c r="F688" s="386">
        <v>139314.71</v>
      </c>
      <c r="G688" s="71" t="str">
        <f t="shared" si="11"/>
        <v>121</v>
      </c>
    </row>
    <row r="689" spans="1:7" ht="33.75">
      <c r="A689" s="370" t="s">
        <v>1318</v>
      </c>
      <c r="B689" s="371">
        <v>200</v>
      </c>
      <c r="C689" s="369" t="s">
        <v>939</v>
      </c>
      <c r="D689" s="385">
        <v>284175.25</v>
      </c>
      <c r="E689" s="380">
        <v>267374.63</v>
      </c>
      <c r="F689" s="386">
        <v>16800.62</v>
      </c>
      <c r="G689" s="71" t="str">
        <f t="shared" si="11"/>
        <v>129</v>
      </c>
    </row>
    <row r="690" spans="1:7" ht="33.75">
      <c r="A690" s="373" t="s">
        <v>2303</v>
      </c>
      <c r="B690" s="374">
        <v>200</v>
      </c>
      <c r="C690" s="372" t="s">
        <v>2304</v>
      </c>
      <c r="D690" s="382">
        <v>1522981.81</v>
      </c>
      <c r="E690" s="383">
        <v>1522981.81</v>
      </c>
      <c r="F690" s="384">
        <v>0</v>
      </c>
      <c r="G690" s="71" t="str">
        <f t="shared" si="11"/>
        <v>000</v>
      </c>
    </row>
    <row r="691" spans="1:7" ht="33.75">
      <c r="A691" s="373" t="s">
        <v>36</v>
      </c>
      <c r="B691" s="374">
        <v>200</v>
      </c>
      <c r="C691" s="372" t="s">
        <v>2305</v>
      </c>
      <c r="D691" s="382">
        <v>1522981.81</v>
      </c>
      <c r="E691" s="383">
        <v>1522981.81</v>
      </c>
      <c r="F691" s="384">
        <v>0</v>
      </c>
      <c r="G691" s="71" t="str">
        <f t="shared" si="11"/>
        <v>100</v>
      </c>
    </row>
    <row r="692" spans="1:7" ht="12.75">
      <c r="A692" s="373" t="s">
        <v>37</v>
      </c>
      <c r="B692" s="374">
        <v>200</v>
      </c>
      <c r="C692" s="372" t="s">
        <v>2306</v>
      </c>
      <c r="D692" s="382">
        <v>1522981.81</v>
      </c>
      <c r="E692" s="383">
        <v>1522981.81</v>
      </c>
      <c r="F692" s="384">
        <v>0</v>
      </c>
      <c r="G692" s="71" t="str">
        <f t="shared" si="11"/>
        <v>120</v>
      </c>
    </row>
    <row r="693" spans="1:7" ht="12.75">
      <c r="A693" s="370" t="s">
        <v>1317</v>
      </c>
      <c r="B693" s="371">
        <v>200</v>
      </c>
      <c r="C693" s="369" t="s">
        <v>2307</v>
      </c>
      <c r="D693" s="385">
        <v>1232287.38</v>
      </c>
      <c r="E693" s="380">
        <v>1232287.38</v>
      </c>
      <c r="F693" s="386">
        <v>0</v>
      </c>
      <c r="G693" s="71" t="str">
        <f t="shared" si="11"/>
        <v>121</v>
      </c>
    </row>
    <row r="694" spans="1:7" ht="33.75">
      <c r="A694" s="370" t="s">
        <v>1318</v>
      </c>
      <c r="B694" s="371">
        <v>200</v>
      </c>
      <c r="C694" s="369" t="s">
        <v>2308</v>
      </c>
      <c r="D694" s="385">
        <v>290694.43</v>
      </c>
      <c r="E694" s="380">
        <v>290694.43</v>
      </c>
      <c r="F694" s="386">
        <v>0</v>
      </c>
      <c r="G694" s="71" t="str">
        <f t="shared" si="11"/>
        <v>129</v>
      </c>
    </row>
    <row r="695" spans="1:7" ht="22.5">
      <c r="A695" s="373" t="s">
        <v>1811</v>
      </c>
      <c r="B695" s="374">
        <v>200</v>
      </c>
      <c r="C695" s="372" t="s">
        <v>1879</v>
      </c>
      <c r="D695" s="382">
        <v>736046</v>
      </c>
      <c r="E695" s="383">
        <v>736046</v>
      </c>
      <c r="F695" s="384">
        <v>0</v>
      </c>
      <c r="G695" s="71" t="str">
        <f t="shared" si="11"/>
        <v>000</v>
      </c>
    </row>
    <row r="696" spans="1:7" ht="33.75">
      <c r="A696" s="373" t="s">
        <v>36</v>
      </c>
      <c r="B696" s="374">
        <v>200</v>
      </c>
      <c r="C696" s="372" t="s">
        <v>1880</v>
      </c>
      <c r="D696" s="382">
        <v>736046</v>
      </c>
      <c r="E696" s="383">
        <v>736046</v>
      </c>
      <c r="F696" s="384">
        <v>0</v>
      </c>
      <c r="G696" s="71" t="str">
        <f t="shared" si="11"/>
        <v>100</v>
      </c>
    </row>
    <row r="697" spans="1:7" ht="12.75">
      <c r="A697" s="373" t="s">
        <v>37</v>
      </c>
      <c r="B697" s="374">
        <v>200</v>
      </c>
      <c r="C697" s="372" t="s">
        <v>1881</v>
      </c>
      <c r="D697" s="382">
        <v>736046</v>
      </c>
      <c r="E697" s="383">
        <v>736046</v>
      </c>
      <c r="F697" s="384">
        <v>0</v>
      </c>
      <c r="G697" s="71" t="str">
        <f t="shared" si="11"/>
        <v>120</v>
      </c>
    </row>
    <row r="698" spans="1:7" ht="12.75">
      <c r="A698" s="370" t="s">
        <v>1317</v>
      </c>
      <c r="B698" s="371">
        <v>200</v>
      </c>
      <c r="C698" s="369" t="s">
        <v>1882</v>
      </c>
      <c r="D698" s="385">
        <v>565319</v>
      </c>
      <c r="E698" s="380">
        <v>565319</v>
      </c>
      <c r="F698" s="386">
        <v>0</v>
      </c>
      <c r="G698" s="71" t="str">
        <f t="shared" si="11"/>
        <v>121</v>
      </c>
    </row>
    <row r="699" spans="1:7" ht="33.75">
      <c r="A699" s="370" t="s">
        <v>1318</v>
      </c>
      <c r="B699" s="371">
        <v>200</v>
      </c>
      <c r="C699" s="369" t="s">
        <v>1883</v>
      </c>
      <c r="D699" s="385">
        <v>170727</v>
      </c>
      <c r="E699" s="380">
        <v>170727</v>
      </c>
      <c r="F699" s="386">
        <v>0</v>
      </c>
      <c r="G699" s="71" t="str">
        <f t="shared" si="11"/>
        <v>129</v>
      </c>
    </row>
    <row r="700" spans="1:7" ht="78.75">
      <c r="A700" s="377" t="s">
        <v>1605</v>
      </c>
      <c r="B700" s="374">
        <v>200</v>
      </c>
      <c r="C700" s="372" t="s">
        <v>940</v>
      </c>
      <c r="D700" s="382">
        <v>62232.3</v>
      </c>
      <c r="E700" s="383">
        <v>50432.3</v>
      </c>
      <c r="F700" s="384">
        <v>11800</v>
      </c>
      <c r="G700" s="71" t="str">
        <f aca="true" t="shared" si="12" ref="G700:G758">RIGHT(C700,3)</f>
        <v>000</v>
      </c>
    </row>
    <row r="701" spans="1:7" ht="12.75">
      <c r="A701" s="373" t="s">
        <v>1299</v>
      </c>
      <c r="B701" s="374">
        <v>200</v>
      </c>
      <c r="C701" s="372" t="s">
        <v>941</v>
      </c>
      <c r="D701" s="382">
        <v>62232.3</v>
      </c>
      <c r="E701" s="383">
        <v>50432.3</v>
      </c>
      <c r="F701" s="384">
        <v>11800</v>
      </c>
      <c r="G701" s="71" t="str">
        <f t="shared" si="12"/>
        <v>000</v>
      </c>
    </row>
    <row r="702" spans="1:7" ht="22.5">
      <c r="A702" s="373" t="s">
        <v>411</v>
      </c>
      <c r="B702" s="374">
        <v>200</v>
      </c>
      <c r="C702" s="372" t="s">
        <v>942</v>
      </c>
      <c r="D702" s="382">
        <v>62232.3</v>
      </c>
      <c r="E702" s="383">
        <v>50432.3</v>
      </c>
      <c r="F702" s="384">
        <v>11800</v>
      </c>
      <c r="G702" s="71" t="str">
        <f t="shared" si="12"/>
        <v>200</v>
      </c>
    </row>
    <row r="703" spans="1:7" ht="22.5">
      <c r="A703" s="373" t="s">
        <v>38</v>
      </c>
      <c r="B703" s="374">
        <v>200</v>
      </c>
      <c r="C703" s="372" t="s">
        <v>943</v>
      </c>
      <c r="D703" s="382">
        <v>62232.3</v>
      </c>
      <c r="E703" s="383">
        <v>50432.3</v>
      </c>
      <c r="F703" s="384">
        <v>11800</v>
      </c>
      <c r="G703" s="71" t="str">
        <f t="shared" si="12"/>
        <v>240</v>
      </c>
    </row>
    <row r="704" spans="1:7" ht="22.5">
      <c r="A704" s="370" t="s">
        <v>637</v>
      </c>
      <c r="B704" s="371">
        <v>200</v>
      </c>
      <c r="C704" s="369" t="s">
        <v>1586</v>
      </c>
      <c r="D704" s="385">
        <v>62232.3</v>
      </c>
      <c r="E704" s="380">
        <v>50432.3</v>
      </c>
      <c r="F704" s="386">
        <v>11800</v>
      </c>
      <c r="G704" s="71" t="str">
        <f t="shared" si="12"/>
        <v>243</v>
      </c>
    </row>
    <row r="705" spans="1:7" ht="12.75">
      <c r="A705" s="373" t="s">
        <v>669</v>
      </c>
      <c r="B705" s="374">
        <v>200</v>
      </c>
      <c r="C705" s="372" t="s">
        <v>791</v>
      </c>
      <c r="D705" s="382">
        <v>129505323.17</v>
      </c>
      <c r="E705" s="383">
        <v>128134776.81</v>
      </c>
      <c r="F705" s="384">
        <v>1370546.36</v>
      </c>
      <c r="G705" s="71" t="str">
        <f t="shared" si="12"/>
        <v>000</v>
      </c>
    </row>
    <row r="706" spans="1:7" ht="12.75">
      <c r="A706" s="373" t="s">
        <v>1884</v>
      </c>
      <c r="B706" s="374">
        <v>200</v>
      </c>
      <c r="C706" s="372" t="s">
        <v>1885</v>
      </c>
      <c r="D706" s="382">
        <v>103269263.08</v>
      </c>
      <c r="E706" s="383">
        <v>103268800</v>
      </c>
      <c r="F706" s="384">
        <v>463.08</v>
      </c>
      <c r="G706" s="71" t="str">
        <f t="shared" si="12"/>
        <v>000</v>
      </c>
    </row>
    <row r="707" spans="1:7" ht="56.25">
      <c r="A707" s="377" t="s">
        <v>1604</v>
      </c>
      <c r="B707" s="374">
        <v>200</v>
      </c>
      <c r="C707" s="372" t="s">
        <v>2410</v>
      </c>
      <c r="D707" s="382">
        <v>103269263.08</v>
      </c>
      <c r="E707" s="383">
        <v>103268800</v>
      </c>
      <c r="F707" s="384">
        <v>463.08</v>
      </c>
      <c r="G707" s="71" t="str">
        <f t="shared" si="12"/>
        <v>000</v>
      </c>
    </row>
    <row r="708" spans="1:7" ht="22.5">
      <c r="A708" s="373" t="s">
        <v>2479</v>
      </c>
      <c r="B708" s="374">
        <v>200</v>
      </c>
      <c r="C708" s="372" t="s">
        <v>2480</v>
      </c>
      <c r="D708" s="382">
        <v>103269263.08</v>
      </c>
      <c r="E708" s="383">
        <v>103268800</v>
      </c>
      <c r="F708" s="384">
        <v>463.08</v>
      </c>
      <c r="G708" s="71" t="str">
        <f t="shared" si="12"/>
        <v>000</v>
      </c>
    </row>
    <row r="709" spans="1:7" ht="22.5">
      <c r="A709" s="373" t="s">
        <v>411</v>
      </c>
      <c r="B709" s="374">
        <v>200</v>
      </c>
      <c r="C709" s="372" t="s">
        <v>2481</v>
      </c>
      <c r="D709" s="382">
        <v>51634863.08</v>
      </c>
      <c r="E709" s="383">
        <v>51634400</v>
      </c>
      <c r="F709" s="384">
        <v>463.08</v>
      </c>
      <c r="G709" s="71" t="str">
        <f t="shared" si="12"/>
        <v>200</v>
      </c>
    </row>
    <row r="710" spans="1:7" ht="22.5">
      <c r="A710" s="373" t="s">
        <v>38</v>
      </c>
      <c r="B710" s="374">
        <v>200</v>
      </c>
      <c r="C710" s="372" t="s">
        <v>2482</v>
      </c>
      <c r="D710" s="382">
        <v>51634863.08</v>
      </c>
      <c r="E710" s="383">
        <v>51634400</v>
      </c>
      <c r="F710" s="384">
        <v>463.08</v>
      </c>
      <c r="G710" s="71" t="str">
        <f t="shared" si="12"/>
        <v>240</v>
      </c>
    </row>
    <row r="711" spans="1:7" ht="22.5">
      <c r="A711" s="370" t="s">
        <v>637</v>
      </c>
      <c r="B711" s="371">
        <v>200</v>
      </c>
      <c r="C711" s="369" t="s">
        <v>2483</v>
      </c>
      <c r="D711" s="385">
        <v>51634863.08</v>
      </c>
      <c r="E711" s="380">
        <v>51634400</v>
      </c>
      <c r="F711" s="386">
        <v>463.08</v>
      </c>
      <c r="G711" s="71" t="str">
        <f t="shared" si="12"/>
        <v>243</v>
      </c>
    </row>
    <row r="712" spans="1:7" ht="12.75">
      <c r="A712" s="373" t="s">
        <v>42</v>
      </c>
      <c r="B712" s="374">
        <v>200</v>
      </c>
      <c r="C712" s="372" t="s">
        <v>2484</v>
      </c>
      <c r="D712" s="382">
        <v>51634400</v>
      </c>
      <c r="E712" s="383">
        <v>51634400</v>
      </c>
      <c r="F712" s="384">
        <v>0</v>
      </c>
      <c r="G712" s="71" t="str">
        <f t="shared" si="12"/>
        <v>500</v>
      </c>
    </row>
    <row r="713" spans="1:7" ht="12.75">
      <c r="A713" s="370" t="s">
        <v>512</v>
      </c>
      <c r="B713" s="371">
        <v>200</v>
      </c>
      <c r="C713" s="369" t="s">
        <v>2485</v>
      </c>
      <c r="D713" s="385">
        <v>51634400</v>
      </c>
      <c r="E713" s="380">
        <v>51634400</v>
      </c>
      <c r="F713" s="386">
        <v>0</v>
      </c>
      <c r="G713" s="71" t="str">
        <f t="shared" si="12"/>
        <v>540</v>
      </c>
    </row>
    <row r="714" spans="1:7" ht="12.75">
      <c r="A714" s="373" t="s">
        <v>604</v>
      </c>
      <c r="B714" s="374">
        <v>200</v>
      </c>
      <c r="C714" s="372" t="s">
        <v>792</v>
      </c>
      <c r="D714" s="382">
        <v>26236060.09</v>
      </c>
      <c r="E714" s="383">
        <v>24865976.81</v>
      </c>
      <c r="F714" s="384">
        <v>1370083.28</v>
      </c>
      <c r="G714" s="71" t="str">
        <f t="shared" si="12"/>
        <v>000</v>
      </c>
    </row>
    <row r="715" spans="1:7" ht="56.25">
      <c r="A715" s="377" t="s">
        <v>1604</v>
      </c>
      <c r="B715" s="374">
        <v>200</v>
      </c>
      <c r="C715" s="372" t="s">
        <v>2032</v>
      </c>
      <c r="D715" s="382">
        <v>22390000</v>
      </c>
      <c r="E715" s="383">
        <v>21381160.72</v>
      </c>
      <c r="F715" s="384">
        <v>1008839.28</v>
      </c>
      <c r="G715" s="71" t="str">
        <f t="shared" si="12"/>
        <v>000</v>
      </c>
    </row>
    <row r="716" spans="1:7" ht="78.75">
      <c r="A716" s="377" t="s">
        <v>1605</v>
      </c>
      <c r="B716" s="374">
        <v>200</v>
      </c>
      <c r="C716" s="372" t="s">
        <v>2033</v>
      </c>
      <c r="D716" s="382">
        <v>22390000</v>
      </c>
      <c r="E716" s="383">
        <v>21381160.72</v>
      </c>
      <c r="F716" s="384">
        <v>1008839.28</v>
      </c>
      <c r="G716" s="71" t="str">
        <f t="shared" si="12"/>
        <v>000</v>
      </c>
    </row>
    <row r="717" spans="1:7" ht="12.75">
      <c r="A717" s="373" t="s">
        <v>2411</v>
      </c>
      <c r="B717" s="374">
        <v>200</v>
      </c>
      <c r="C717" s="372" t="s">
        <v>2412</v>
      </c>
      <c r="D717" s="382">
        <v>20190000</v>
      </c>
      <c r="E717" s="383">
        <v>19181160.72</v>
      </c>
      <c r="F717" s="384">
        <v>1008839.28</v>
      </c>
      <c r="G717" s="71" t="str">
        <f t="shared" si="12"/>
        <v>000</v>
      </c>
    </row>
    <row r="718" spans="1:7" ht="22.5">
      <c r="A718" s="373" t="s">
        <v>411</v>
      </c>
      <c r="B718" s="374">
        <v>200</v>
      </c>
      <c r="C718" s="372" t="s">
        <v>2413</v>
      </c>
      <c r="D718" s="382">
        <v>190000</v>
      </c>
      <c r="E718" s="383">
        <v>190000</v>
      </c>
      <c r="F718" s="384">
        <v>0</v>
      </c>
      <c r="G718" s="71" t="str">
        <f t="shared" si="12"/>
        <v>200</v>
      </c>
    </row>
    <row r="719" spans="1:7" ht="22.5">
      <c r="A719" s="373" t="s">
        <v>38</v>
      </c>
      <c r="B719" s="374">
        <v>200</v>
      </c>
      <c r="C719" s="372" t="s">
        <v>2414</v>
      </c>
      <c r="D719" s="382">
        <v>190000</v>
      </c>
      <c r="E719" s="383">
        <v>190000</v>
      </c>
      <c r="F719" s="384">
        <v>0</v>
      </c>
      <c r="G719" s="71" t="str">
        <f t="shared" si="12"/>
        <v>240</v>
      </c>
    </row>
    <row r="720" spans="1:7" ht="12.75">
      <c r="A720" s="370" t="s">
        <v>1658</v>
      </c>
      <c r="B720" s="371">
        <v>200</v>
      </c>
      <c r="C720" s="369" t="s">
        <v>2415</v>
      </c>
      <c r="D720" s="385">
        <v>190000</v>
      </c>
      <c r="E720" s="380">
        <v>190000</v>
      </c>
      <c r="F720" s="386">
        <v>0</v>
      </c>
      <c r="G720" s="71" t="str">
        <f t="shared" si="12"/>
        <v>244</v>
      </c>
    </row>
    <row r="721" spans="1:7" ht="22.5">
      <c r="A721" s="373" t="s">
        <v>1159</v>
      </c>
      <c r="B721" s="374">
        <v>200</v>
      </c>
      <c r="C721" s="372" t="s">
        <v>2416</v>
      </c>
      <c r="D721" s="382">
        <v>20000000</v>
      </c>
      <c r="E721" s="383">
        <v>18991160.72</v>
      </c>
      <c r="F721" s="384">
        <v>1008839.28</v>
      </c>
      <c r="G721" s="71" t="str">
        <f t="shared" si="12"/>
        <v>400</v>
      </c>
    </row>
    <row r="722" spans="1:7" ht="12.75">
      <c r="A722" s="373" t="s">
        <v>1160</v>
      </c>
      <c r="B722" s="374">
        <v>200</v>
      </c>
      <c r="C722" s="372" t="s">
        <v>2417</v>
      </c>
      <c r="D722" s="382">
        <v>20000000</v>
      </c>
      <c r="E722" s="383">
        <v>18991160.72</v>
      </c>
      <c r="F722" s="384">
        <v>1008839.28</v>
      </c>
      <c r="G722" s="71" t="str">
        <f t="shared" si="12"/>
        <v>410</v>
      </c>
    </row>
    <row r="723" spans="1:7" ht="22.5">
      <c r="A723" s="370" t="s">
        <v>1161</v>
      </c>
      <c r="B723" s="371">
        <v>200</v>
      </c>
      <c r="C723" s="369" t="s">
        <v>2418</v>
      </c>
      <c r="D723" s="385">
        <v>20000000</v>
      </c>
      <c r="E723" s="380">
        <v>18991160.72</v>
      </c>
      <c r="F723" s="386">
        <v>1008839.28</v>
      </c>
      <c r="G723" s="71" t="str">
        <f t="shared" si="12"/>
        <v>414</v>
      </c>
    </row>
    <row r="724" spans="1:7" ht="45">
      <c r="A724" s="373" t="s">
        <v>2218</v>
      </c>
      <c r="B724" s="374">
        <v>200</v>
      </c>
      <c r="C724" s="372" t="s">
        <v>2034</v>
      </c>
      <c r="D724" s="382">
        <v>2200000</v>
      </c>
      <c r="E724" s="383">
        <v>2200000</v>
      </c>
      <c r="F724" s="384">
        <v>0</v>
      </c>
      <c r="G724" s="71" t="str">
        <f t="shared" si="12"/>
        <v>000</v>
      </c>
    </row>
    <row r="725" spans="1:7" ht="22.5">
      <c r="A725" s="373" t="s">
        <v>411</v>
      </c>
      <c r="B725" s="374">
        <v>200</v>
      </c>
      <c r="C725" s="372" t="s">
        <v>2035</v>
      </c>
      <c r="D725" s="382">
        <v>2200000</v>
      </c>
      <c r="E725" s="383">
        <v>2200000</v>
      </c>
      <c r="F725" s="384">
        <v>0</v>
      </c>
      <c r="G725" s="71" t="str">
        <f t="shared" si="12"/>
        <v>200</v>
      </c>
    </row>
    <row r="726" spans="1:7" ht="22.5">
      <c r="A726" s="373" t="s">
        <v>38</v>
      </c>
      <c r="B726" s="374">
        <v>200</v>
      </c>
      <c r="C726" s="372" t="s">
        <v>2036</v>
      </c>
      <c r="D726" s="382">
        <v>2200000</v>
      </c>
      <c r="E726" s="383">
        <v>2200000</v>
      </c>
      <c r="F726" s="384">
        <v>0</v>
      </c>
      <c r="G726" s="71" t="str">
        <f t="shared" si="12"/>
        <v>240</v>
      </c>
    </row>
    <row r="727" spans="1:7" ht="12.75">
      <c r="A727" s="370" t="s">
        <v>1658</v>
      </c>
      <c r="B727" s="371">
        <v>200</v>
      </c>
      <c r="C727" s="369" t="s">
        <v>2037</v>
      </c>
      <c r="D727" s="385">
        <v>2200000</v>
      </c>
      <c r="E727" s="380">
        <v>2200000</v>
      </c>
      <c r="F727" s="386">
        <v>0</v>
      </c>
      <c r="G727" s="71" t="str">
        <f t="shared" si="12"/>
        <v>244</v>
      </c>
    </row>
    <row r="728" spans="1:7" ht="12.75">
      <c r="A728" s="373" t="s">
        <v>243</v>
      </c>
      <c r="B728" s="374">
        <v>200</v>
      </c>
      <c r="C728" s="372" t="s">
        <v>793</v>
      </c>
      <c r="D728" s="382">
        <v>3846060.09</v>
      </c>
      <c r="E728" s="383">
        <v>3484816.09</v>
      </c>
      <c r="F728" s="384">
        <v>361244</v>
      </c>
      <c r="G728" s="71" t="str">
        <f t="shared" si="12"/>
        <v>000</v>
      </c>
    </row>
    <row r="729" spans="1:7" ht="67.5">
      <c r="A729" s="377" t="s">
        <v>1606</v>
      </c>
      <c r="B729" s="374">
        <v>200</v>
      </c>
      <c r="C729" s="372" t="s">
        <v>794</v>
      </c>
      <c r="D729" s="382">
        <v>60000</v>
      </c>
      <c r="E729" s="383">
        <v>25000</v>
      </c>
      <c r="F729" s="384">
        <v>35000</v>
      </c>
      <c r="G729" s="71" t="str">
        <f t="shared" si="12"/>
        <v>000</v>
      </c>
    </row>
    <row r="730" spans="1:7" ht="12.75">
      <c r="A730" s="373" t="s">
        <v>42</v>
      </c>
      <c r="B730" s="374">
        <v>200</v>
      </c>
      <c r="C730" s="372" t="s">
        <v>795</v>
      </c>
      <c r="D730" s="382">
        <v>60000</v>
      </c>
      <c r="E730" s="383">
        <v>25000</v>
      </c>
      <c r="F730" s="384">
        <v>35000</v>
      </c>
      <c r="G730" s="71" t="str">
        <f t="shared" si="12"/>
        <v>500</v>
      </c>
    </row>
    <row r="731" spans="1:7" ht="12.75">
      <c r="A731" s="370" t="s">
        <v>512</v>
      </c>
      <c r="B731" s="371">
        <v>200</v>
      </c>
      <c r="C731" s="369" t="s">
        <v>796</v>
      </c>
      <c r="D731" s="385">
        <v>60000</v>
      </c>
      <c r="E731" s="380">
        <v>25000</v>
      </c>
      <c r="F731" s="386">
        <v>35000</v>
      </c>
      <c r="G731" s="71" t="str">
        <f t="shared" si="12"/>
        <v>540</v>
      </c>
    </row>
    <row r="732" spans="1:7" ht="78.75">
      <c r="A732" s="377" t="s">
        <v>1607</v>
      </c>
      <c r="B732" s="374">
        <v>200</v>
      </c>
      <c r="C732" s="372" t="s">
        <v>797</v>
      </c>
      <c r="D732" s="382">
        <v>641120.49</v>
      </c>
      <c r="E732" s="383">
        <v>344120.49</v>
      </c>
      <c r="F732" s="384">
        <v>297000</v>
      </c>
      <c r="G732" s="71" t="str">
        <f t="shared" si="12"/>
        <v>000</v>
      </c>
    </row>
    <row r="733" spans="1:7" ht="12.75">
      <c r="A733" s="373" t="s">
        <v>42</v>
      </c>
      <c r="B733" s="374">
        <v>200</v>
      </c>
      <c r="C733" s="372" t="s">
        <v>798</v>
      </c>
      <c r="D733" s="382">
        <v>641120.49</v>
      </c>
      <c r="E733" s="383">
        <v>344120.49</v>
      </c>
      <c r="F733" s="384">
        <v>297000</v>
      </c>
      <c r="G733" s="71" t="str">
        <f t="shared" si="12"/>
        <v>500</v>
      </c>
    </row>
    <row r="734" spans="1:7" ht="12.75">
      <c r="A734" s="370" t="s">
        <v>512</v>
      </c>
      <c r="B734" s="371">
        <v>200</v>
      </c>
      <c r="C734" s="369" t="s">
        <v>799</v>
      </c>
      <c r="D734" s="385">
        <v>641120.49</v>
      </c>
      <c r="E734" s="380">
        <v>344120.49</v>
      </c>
      <c r="F734" s="386">
        <v>297000</v>
      </c>
      <c r="G734" s="71" t="str">
        <f t="shared" si="12"/>
        <v>540</v>
      </c>
    </row>
    <row r="735" spans="1:7" ht="12.75">
      <c r="A735" s="373" t="s">
        <v>62</v>
      </c>
      <c r="B735" s="374">
        <v>200</v>
      </c>
      <c r="C735" s="372" t="s">
        <v>2189</v>
      </c>
      <c r="D735" s="382">
        <v>1097755.84</v>
      </c>
      <c r="E735" s="383">
        <v>1093322.68</v>
      </c>
      <c r="F735" s="384">
        <v>4433.16</v>
      </c>
      <c r="G735" s="71" t="str">
        <f t="shared" si="12"/>
        <v>000</v>
      </c>
    </row>
    <row r="736" spans="1:7" ht="22.5">
      <c r="A736" s="373" t="s">
        <v>411</v>
      </c>
      <c r="B736" s="374">
        <v>200</v>
      </c>
      <c r="C736" s="372" t="s">
        <v>2190</v>
      </c>
      <c r="D736" s="382">
        <v>1097755.84</v>
      </c>
      <c r="E736" s="383">
        <v>1093322.68</v>
      </c>
      <c r="F736" s="384">
        <v>4433.16</v>
      </c>
      <c r="G736" s="71" t="str">
        <f t="shared" si="12"/>
        <v>200</v>
      </c>
    </row>
    <row r="737" spans="1:7" ht="22.5">
      <c r="A737" s="373" t="s">
        <v>38</v>
      </c>
      <c r="B737" s="374">
        <v>200</v>
      </c>
      <c r="C737" s="372" t="s">
        <v>2191</v>
      </c>
      <c r="D737" s="382">
        <v>1097755.84</v>
      </c>
      <c r="E737" s="383">
        <v>1093322.68</v>
      </c>
      <c r="F737" s="384">
        <v>4433.16</v>
      </c>
      <c r="G737" s="71" t="str">
        <f t="shared" si="12"/>
        <v>240</v>
      </c>
    </row>
    <row r="738" spans="1:7" ht="12.75">
      <c r="A738" s="370" t="s">
        <v>1658</v>
      </c>
      <c r="B738" s="371">
        <v>200</v>
      </c>
      <c r="C738" s="369" t="s">
        <v>2192</v>
      </c>
      <c r="D738" s="385">
        <v>1097755.84</v>
      </c>
      <c r="E738" s="380">
        <v>1093322.68</v>
      </c>
      <c r="F738" s="386">
        <v>4433.16</v>
      </c>
      <c r="G738" s="71" t="str">
        <f t="shared" si="12"/>
        <v>244</v>
      </c>
    </row>
    <row r="739" spans="1:7" ht="12.75">
      <c r="A739" s="373" t="s">
        <v>1154</v>
      </c>
      <c r="B739" s="374">
        <v>200</v>
      </c>
      <c r="C739" s="372" t="s">
        <v>2038</v>
      </c>
      <c r="D739" s="382">
        <v>759703.55</v>
      </c>
      <c r="E739" s="383">
        <v>734892.71</v>
      </c>
      <c r="F739" s="384">
        <v>24810.84</v>
      </c>
      <c r="G739" s="71" t="str">
        <f t="shared" si="12"/>
        <v>000</v>
      </c>
    </row>
    <row r="740" spans="1:7" ht="22.5">
      <c r="A740" s="373" t="s">
        <v>411</v>
      </c>
      <c r="B740" s="374">
        <v>200</v>
      </c>
      <c r="C740" s="372" t="s">
        <v>2039</v>
      </c>
      <c r="D740" s="382">
        <v>759703.55</v>
      </c>
      <c r="E740" s="383">
        <v>734892.71</v>
      </c>
      <c r="F740" s="384">
        <v>24810.84</v>
      </c>
      <c r="G740" s="71" t="str">
        <f t="shared" si="12"/>
        <v>200</v>
      </c>
    </row>
    <row r="741" spans="1:7" ht="22.5">
      <c r="A741" s="373" t="s">
        <v>38</v>
      </c>
      <c r="B741" s="374">
        <v>200</v>
      </c>
      <c r="C741" s="372" t="s">
        <v>2040</v>
      </c>
      <c r="D741" s="382">
        <v>759703.55</v>
      </c>
      <c r="E741" s="383">
        <v>734892.71</v>
      </c>
      <c r="F741" s="384">
        <v>24810.84</v>
      </c>
      <c r="G741" s="71" t="str">
        <f t="shared" si="12"/>
        <v>240</v>
      </c>
    </row>
    <row r="742" spans="1:7" ht="12.75">
      <c r="A742" s="370" t="s">
        <v>1658</v>
      </c>
      <c r="B742" s="371">
        <v>200</v>
      </c>
      <c r="C742" s="369" t="s">
        <v>2041</v>
      </c>
      <c r="D742" s="385">
        <v>759703.55</v>
      </c>
      <c r="E742" s="380">
        <v>734892.71</v>
      </c>
      <c r="F742" s="386">
        <v>24810.84</v>
      </c>
      <c r="G742" s="71" t="str">
        <f t="shared" si="12"/>
        <v>244</v>
      </c>
    </row>
    <row r="743" spans="1:7" ht="33.75">
      <c r="A743" s="373" t="s">
        <v>1316</v>
      </c>
      <c r="B743" s="374">
        <v>200</v>
      </c>
      <c r="C743" s="372" t="s">
        <v>1462</v>
      </c>
      <c r="D743" s="382">
        <v>1287480.21</v>
      </c>
      <c r="E743" s="383">
        <v>1287480.21</v>
      </c>
      <c r="F743" s="384">
        <v>0</v>
      </c>
      <c r="G743" s="71" t="str">
        <f t="shared" si="12"/>
        <v>000</v>
      </c>
    </row>
    <row r="744" spans="1:7" ht="22.5">
      <c r="A744" s="373" t="s">
        <v>411</v>
      </c>
      <c r="B744" s="374">
        <v>200</v>
      </c>
      <c r="C744" s="372" t="s">
        <v>1463</v>
      </c>
      <c r="D744" s="382">
        <v>1287480.21</v>
      </c>
      <c r="E744" s="383">
        <v>1287480.21</v>
      </c>
      <c r="F744" s="384">
        <v>0</v>
      </c>
      <c r="G744" s="71" t="str">
        <f t="shared" si="12"/>
        <v>200</v>
      </c>
    </row>
    <row r="745" spans="1:7" ht="22.5">
      <c r="A745" s="373" t="s">
        <v>38</v>
      </c>
      <c r="B745" s="374">
        <v>200</v>
      </c>
      <c r="C745" s="372" t="s">
        <v>1464</v>
      </c>
      <c r="D745" s="382">
        <v>1287480.21</v>
      </c>
      <c r="E745" s="383">
        <v>1287480.21</v>
      </c>
      <c r="F745" s="384">
        <v>0</v>
      </c>
      <c r="G745" s="71" t="str">
        <f t="shared" si="12"/>
        <v>240</v>
      </c>
    </row>
    <row r="746" spans="1:7" ht="12.75">
      <c r="A746" s="370" t="s">
        <v>1658</v>
      </c>
      <c r="B746" s="371">
        <v>200</v>
      </c>
      <c r="C746" s="369" t="s">
        <v>1465</v>
      </c>
      <c r="D746" s="385">
        <v>1287480.21</v>
      </c>
      <c r="E746" s="380">
        <v>1287480.21</v>
      </c>
      <c r="F746" s="386">
        <v>0</v>
      </c>
      <c r="G746" s="71" t="str">
        <f t="shared" si="12"/>
        <v>244</v>
      </c>
    </row>
    <row r="747" spans="1:7" ht="12.75">
      <c r="A747" s="373" t="s">
        <v>332</v>
      </c>
      <c r="B747" s="374">
        <v>200</v>
      </c>
      <c r="C747" s="372" t="s">
        <v>800</v>
      </c>
      <c r="D747" s="382">
        <v>1214039296.61</v>
      </c>
      <c r="E747" s="383">
        <v>1124454368.96</v>
      </c>
      <c r="F747" s="384">
        <v>89584927.65</v>
      </c>
      <c r="G747" s="71" t="str">
        <f t="shared" si="12"/>
        <v>000</v>
      </c>
    </row>
    <row r="748" spans="1:7" ht="12.75">
      <c r="A748" s="373" t="s">
        <v>1723</v>
      </c>
      <c r="B748" s="374">
        <v>200</v>
      </c>
      <c r="C748" s="372" t="s">
        <v>1724</v>
      </c>
      <c r="D748" s="382">
        <v>3000</v>
      </c>
      <c r="E748" s="383">
        <v>3000</v>
      </c>
      <c r="F748" s="384">
        <v>0</v>
      </c>
      <c r="G748" s="71" t="str">
        <f t="shared" si="12"/>
        <v>000</v>
      </c>
    </row>
    <row r="749" spans="1:7" ht="12.75">
      <c r="A749" s="373" t="s">
        <v>243</v>
      </c>
      <c r="B749" s="374">
        <v>200</v>
      </c>
      <c r="C749" s="372" t="s">
        <v>1725</v>
      </c>
      <c r="D749" s="382">
        <v>3000</v>
      </c>
      <c r="E749" s="383">
        <v>3000</v>
      </c>
      <c r="F749" s="384">
        <v>0</v>
      </c>
      <c r="G749" s="71" t="str">
        <f t="shared" si="12"/>
        <v>000</v>
      </c>
    </row>
    <row r="750" spans="1:7" ht="45">
      <c r="A750" s="377" t="s">
        <v>1726</v>
      </c>
      <c r="B750" s="374">
        <v>200</v>
      </c>
      <c r="C750" s="372" t="s">
        <v>1727</v>
      </c>
      <c r="D750" s="382">
        <v>1000</v>
      </c>
      <c r="E750" s="383">
        <v>1000</v>
      </c>
      <c r="F750" s="384">
        <v>0</v>
      </c>
      <c r="G750" s="71" t="str">
        <f t="shared" si="12"/>
        <v>000</v>
      </c>
    </row>
    <row r="751" spans="1:7" ht="22.5">
      <c r="A751" s="373" t="s">
        <v>411</v>
      </c>
      <c r="B751" s="374">
        <v>200</v>
      </c>
      <c r="C751" s="372" t="s">
        <v>1728</v>
      </c>
      <c r="D751" s="382">
        <v>1000</v>
      </c>
      <c r="E751" s="383">
        <v>1000</v>
      </c>
      <c r="F751" s="384">
        <v>0</v>
      </c>
      <c r="G751" s="71" t="str">
        <f t="shared" si="12"/>
        <v>200</v>
      </c>
    </row>
    <row r="752" spans="1:7" ht="22.5">
      <c r="A752" s="373" t="s">
        <v>38</v>
      </c>
      <c r="B752" s="374">
        <v>200</v>
      </c>
      <c r="C752" s="372" t="s">
        <v>1729</v>
      </c>
      <c r="D752" s="382">
        <v>1000</v>
      </c>
      <c r="E752" s="383">
        <v>1000</v>
      </c>
      <c r="F752" s="384">
        <v>0</v>
      </c>
      <c r="G752" s="71" t="str">
        <f t="shared" si="12"/>
        <v>240</v>
      </c>
    </row>
    <row r="753" spans="1:7" ht="12.75">
      <c r="A753" s="370" t="s">
        <v>1658</v>
      </c>
      <c r="B753" s="371">
        <v>200</v>
      </c>
      <c r="C753" s="369" t="s">
        <v>1730</v>
      </c>
      <c r="D753" s="385">
        <v>1000</v>
      </c>
      <c r="E753" s="380">
        <v>1000</v>
      </c>
      <c r="F753" s="386">
        <v>0</v>
      </c>
      <c r="G753" s="71" t="str">
        <f t="shared" si="12"/>
        <v>244</v>
      </c>
    </row>
    <row r="754" spans="1:7" ht="45">
      <c r="A754" s="377" t="s">
        <v>1731</v>
      </c>
      <c r="B754" s="374">
        <v>200</v>
      </c>
      <c r="C754" s="372" t="s">
        <v>1732</v>
      </c>
      <c r="D754" s="382">
        <v>1000</v>
      </c>
      <c r="E754" s="383">
        <v>1000</v>
      </c>
      <c r="F754" s="384">
        <v>0</v>
      </c>
      <c r="G754" s="71" t="str">
        <f t="shared" si="12"/>
        <v>000</v>
      </c>
    </row>
    <row r="755" spans="1:7" ht="22.5">
      <c r="A755" s="373" t="s">
        <v>411</v>
      </c>
      <c r="B755" s="374">
        <v>200</v>
      </c>
      <c r="C755" s="372" t="s">
        <v>1733</v>
      </c>
      <c r="D755" s="382">
        <v>1000</v>
      </c>
      <c r="E755" s="383">
        <v>1000</v>
      </c>
      <c r="F755" s="384">
        <v>0</v>
      </c>
      <c r="G755" s="71" t="str">
        <f t="shared" si="12"/>
        <v>200</v>
      </c>
    </row>
    <row r="756" spans="1:7" ht="22.5">
      <c r="A756" s="373" t="s">
        <v>38</v>
      </c>
      <c r="B756" s="374">
        <v>200</v>
      </c>
      <c r="C756" s="372" t="s">
        <v>1734</v>
      </c>
      <c r="D756" s="382">
        <v>1000</v>
      </c>
      <c r="E756" s="383">
        <v>1000</v>
      </c>
      <c r="F756" s="384">
        <v>0</v>
      </c>
      <c r="G756" s="71" t="str">
        <f t="shared" si="12"/>
        <v>240</v>
      </c>
    </row>
    <row r="757" spans="1:7" ht="12.75">
      <c r="A757" s="370" t="s">
        <v>1658</v>
      </c>
      <c r="B757" s="371">
        <v>200</v>
      </c>
      <c r="C757" s="369" t="s">
        <v>1735</v>
      </c>
      <c r="D757" s="385">
        <v>1000</v>
      </c>
      <c r="E757" s="380">
        <v>1000</v>
      </c>
      <c r="F757" s="386">
        <v>0</v>
      </c>
      <c r="G757" s="71" t="str">
        <f t="shared" si="12"/>
        <v>244</v>
      </c>
    </row>
    <row r="758" spans="1:7" ht="45">
      <c r="A758" s="377" t="s">
        <v>1736</v>
      </c>
      <c r="B758" s="374">
        <v>200</v>
      </c>
      <c r="C758" s="372" t="s">
        <v>1737</v>
      </c>
      <c r="D758" s="382">
        <v>1000</v>
      </c>
      <c r="E758" s="383">
        <v>1000</v>
      </c>
      <c r="F758" s="384">
        <v>0</v>
      </c>
      <c r="G758" s="71" t="str">
        <f t="shared" si="12"/>
        <v>000</v>
      </c>
    </row>
    <row r="759" spans="1:7" ht="22.5">
      <c r="A759" s="373" t="s">
        <v>411</v>
      </c>
      <c r="B759" s="374">
        <v>200</v>
      </c>
      <c r="C759" s="372" t="s">
        <v>1738</v>
      </c>
      <c r="D759" s="382">
        <v>1000</v>
      </c>
      <c r="E759" s="383">
        <v>1000</v>
      </c>
      <c r="F759" s="384">
        <v>0</v>
      </c>
      <c r="G759" s="71" t="str">
        <f aca="true" t="shared" si="13" ref="G759:G819">RIGHT(C759,3)</f>
        <v>200</v>
      </c>
    </row>
    <row r="760" spans="1:7" ht="22.5">
      <c r="A760" s="373" t="s">
        <v>38</v>
      </c>
      <c r="B760" s="374">
        <v>200</v>
      </c>
      <c r="C760" s="372" t="s">
        <v>1739</v>
      </c>
      <c r="D760" s="382">
        <v>1000</v>
      </c>
      <c r="E760" s="383">
        <v>1000</v>
      </c>
      <c r="F760" s="384">
        <v>0</v>
      </c>
      <c r="G760" s="71" t="str">
        <f t="shared" si="13"/>
        <v>240</v>
      </c>
    </row>
    <row r="761" spans="1:7" ht="12.75">
      <c r="A761" s="370" t="s">
        <v>1658</v>
      </c>
      <c r="B761" s="371">
        <v>200</v>
      </c>
      <c r="C761" s="369" t="s">
        <v>1740</v>
      </c>
      <c r="D761" s="385">
        <v>1000</v>
      </c>
      <c r="E761" s="380">
        <v>1000</v>
      </c>
      <c r="F761" s="386">
        <v>0</v>
      </c>
      <c r="G761" s="71" t="str">
        <f t="shared" si="13"/>
        <v>244</v>
      </c>
    </row>
    <row r="762" spans="1:7" ht="12.75">
      <c r="A762" s="373" t="s">
        <v>602</v>
      </c>
      <c r="B762" s="374">
        <v>200</v>
      </c>
      <c r="C762" s="372" t="s">
        <v>801</v>
      </c>
      <c r="D762" s="382">
        <v>1194762829.61</v>
      </c>
      <c r="E762" s="383">
        <v>1105273327.96</v>
      </c>
      <c r="F762" s="384">
        <v>89489501.65</v>
      </c>
      <c r="G762" s="71" t="str">
        <f t="shared" si="13"/>
        <v>000</v>
      </c>
    </row>
    <row r="763" spans="1:7" ht="56.25">
      <c r="A763" s="377" t="s">
        <v>1604</v>
      </c>
      <c r="B763" s="374">
        <v>200</v>
      </c>
      <c r="C763" s="372" t="s">
        <v>802</v>
      </c>
      <c r="D763" s="382">
        <v>1148404700</v>
      </c>
      <c r="E763" s="383">
        <v>1069150718.67</v>
      </c>
      <c r="F763" s="384">
        <v>79253981.33</v>
      </c>
      <c r="G763" s="71" t="str">
        <f t="shared" si="13"/>
        <v>000</v>
      </c>
    </row>
    <row r="764" spans="1:7" ht="78.75">
      <c r="A764" s="377" t="s">
        <v>1608</v>
      </c>
      <c r="B764" s="374">
        <v>200</v>
      </c>
      <c r="C764" s="372" t="s">
        <v>803</v>
      </c>
      <c r="D764" s="382">
        <v>1148404700</v>
      </c>
      <c r="E764" s="383">
        <v>1069150718.67</v>
      </c>
      <c r="F764" s="384">
        <v>79253981.33</v>
      </c>
      <c r="G764" s="71" t="str">
        <f t="shared" si="13"/>
        <v>000</v>
      </c>
    </row>
    <row r="765" spans="1:7" ht="22.5">
      <c r="A765" s="373" t="s">
        <v>1372</v>
      </c>
      <c r="B765" s="374">
        <v>200</v>
      </c>
      <c r="C765" s="372" t="s">
        <v>804</v>
      </c>
      <c r="D765" s="382">
        <v>554625200</v>
      </c>
      <c r="E765" s="383">
        <v>501378981</v>
      </c>
      <c r="F765" s="384">
        <v>53246219</v>
      </c>
      <c r="G765" s="71" t="str">
        <f t="shared" si="13"/>
        <v>000</v>
      </c>
    </row>
    <row r="766" spans="1:7" ht="12.75">
      <c r="A766" s="373" t="s">
        <v>39</v>
      </c>
      <c r="B766" s="374">
        <v>200</v>
      </c>
      <c r="C766" s="372" t="s">
        <v>1101</v>
      </c>
      <c r="D766" s="382">
        <v>554625200</v>
      </c>
      <c r="E766" s="383">
        <v>501378981</v>
      </c>
      <c r="F766" s="384">
        <v>53246219</v>
      </c>
      <c r="G766" s="71" t="str">
        <f t="shared" si="13"/>
        <v>800</v>
      </c>
    </row>
    <row r="767" spans="1:7" ht="33.75">
      <c r="A767" s="373" t="s">
        <v>1046</v>
      </c>
      <c r="B767" s="374">
        <v>200</v>
      </c>
      <c r="C767" s="372" t="s">
        <v>1102</v>
      </c>
      <c r="D767" s="382">
        <v>554625200</v>
      </c>
      <c r="E767" s="383">
        <v>501378981</v>
      </c>
      <c r="F767" s="384">
        <v>53246219</v>
      </c>
      <c r="G767" s="71" t="str">
        <f t="shared" si="13"/>
        <v>810</v>
      </c>
    </row>
    <row r="768" spans="1:7" ht="33.75">
      <c r="A768" s="370" t="s">
        <v>2093</v>
      </c>
      <c r="B768" s="371">
        <v>200</v>
      </c>
      <c r="C768" s="369" t="s">
        <v>2117</v>
      </c>
      <c r="D768" s="385">
        <v>554625200</v>
      </c>
      <c r="E768" s="380">
        <v>501378981</v>
      </c>
      <c r="F768" s="386">
        <v>53246219</v>
      </c>
      <c r="G768" s="71" t="str">
        <f t="shared" si="13"/>
        <v>811</v>
      </c>
    </row>
    <row r="769" spans="1:7" ht="56.25">
      <c r="A769" s="377" t="s">
        <v>1609</v>
      </c>
      <c r="B769" s="374">
        <v>200</v>
      </c>
      <c r="C769" s="372" t="s">
        <v>1103</v>
      </c>
      <c r="D769" s="382">
        <v>593779500</v>
      </c>
      <c r="E769" s="383">
        <v>567771737.67</v>
      </c>
      <c r="F769" s="384">
        <v>26007762.33</v>
      </c>
      <c r="G769" s="71" t="str">
        <f t="shared" si="13"/>
        <v>000</v>
      </c>
    </row>
    <row r="770" spans="1:7" ht="12.75">
      <c r="A770" s="373" t="s">
        <v>39</v>
      </c>
      <c r="B770" s="374">
        <v>200</v>
      </c>
      <c r="C770" s="372" t="s">
        <v>1104</v>
      </c>
      <c r="D770" s="382">
        <v>593779500</v>
      </c>
      <c r="E770" s="383">
        <v>567771737.67</v>
      </c>
      <c r="F770" s="384">
        <v>26007762.33</v>
      </c>
      <c r="G770" s="71" t="str">
        <f t="shared" si="13"/>
        <v>800</v>
      </c>
    </row>
    <row r="771" spans="1:7" ht="33.75">
      <c r="A771" s="373" t="s">
        <v>1046</v>
      </c>
      <c r="B771" s="374">
        <v>200</v>
      </c>
      <c r="C771" s="372" t="s">
        <v>1105</v>
      </c>
      <c r="D771" s="382">
        <v>593779500</v>
      </c>
      <c r="E771" s="383">
        <v>567771737.67</v>
      </c>
      <c r="F771" s="384">
        <v>26007762.33</v>
      </c>
      <c r="G771" s="71" t="str">
        <f t="shared" si="13"/>
        <v>810</v>
      </c>
    </row>
    <row r="772" spans="1:7" ht="33.75">
      <c r="A772" s="370" t="s">
        <v>2093</v>
      </c>
      <c r="B772" s="371">
        <v>200</v>
      </c>
      <c r="C772" s="369" t="s">
        <v>2118</v>
      </c>
      <c r="D772" s="385">
        <v>593779500</v>
      </c>
      <c r="E772" s="380">
        <v>567771737.67</v>
      </c>
      <c r="F772" s="386">
        <v>26007762.33</v>
      </c>
      <c r="G772" s="71" t="str">
        <f t="shared" si="13"/>
        <v>811</v>
      </c>
    </row>
    <row r="773" spans="1:7" ht="12.75">
      <c r="A773" s="373" t="s">
        <v>243</v>
      </c>
      <c r="B773" s="374">
        <v>200</v>
      </c>
      <c r="C773" s="372" t="s">
        <v>1989</v>
      </c>
      <c r="D773" s="382">
        <v>46358129.61</v>
      </c>
      <c r="E773" s="383">
        <v>36122609.29</v>
      </c>
      <c r="F773" s="384">
        <v>10235520.32</v>
      </c>
      <c r="G773" s="71" t="str">
        <f t="shared" si="13"/>
        <v>000</v>
      </c>
    </row>
    <row r="774" spans="1:7" ht="56.25">
      <c r="A774" s="377" t="s">
        <v>1990</v>
      </c>
      <c r="B774" s="374">
        <v>200</v>
      </c>
      <c r="C774" s="372" t="s">
        <v>1991</v>
      </c>
      <c r="D774" s="382">
        <v>10429156.14</v>
      </c>
      <c r="E774" s="383">
        <v>10429156.14</v>
      </c>
      <c r="F774" s="384">
        <v>0</v>
      </c>
      <c r="G774" s="71" t="str">
        <f t="shared" si="13"/>
        <v>000</v>
      </c>
    </row>
    <row r="775" spans="1:7" ht="12.75">
      <c r="A775" s="373" t="s">
        <v>39</v>
      </c>
      <c r="B775" s="374">
        <v>200</v>
      </c>
      <c r="C775" s="372" t="s">
        <v>1992</v>
      </c>
      <c r="D775" s="382">
        <v>10429156.14</v>
      </c>
      <c r="E775" s="383">
        <v>10429156.14</v>
      </c>
      <c r="F775" s="384">
        <v>0</v>
      </c>
      <c r="G775" s="71" t="str">
        <f t="shared" si="13"/>
        <v>800</v>
      </c>
    </row>
    <row r="776" spans="1:7" ht="33.75">
      <c r="A776" s="373" t="s">
        <v>1046</v>
      </c>
      <c r="B776" s="374">
        <v>200</v>
      </c>
      <c r="C776" s="372" t="s">
        <v>1993</v>
      </c>
      <c r="D776" s="382">
        <v>10429156.14</v>
      </c>
      <c r="E776" s="383">
        <v>10429156.14</v>
      </c>
      <c r="F776" s="384">
        <v>0</v>
      </c>
      <c r="G776" s="71" t="str">
        <f t="shared" si="13"/>
        <v>810</v>
      </c>
    </row>
    <row r="777" spans="1:7" ht="33.75">
      <c r="A777" s="370" t="s">
        <v>2093</v>
      </c>
      <c r="B777" s="371">
        <v>200</v>
      </c>
      <c r="C777" s="369" t="s">
        <v>2119</v>
      </c>
      <c r="D777" s="385">
        <v>10429156.14</v>
      </c>
      <c r="E777" s="380">
        <v>10429156.14</v>
      </c>
      <c r="F777" s="386">
        <v>0</v>
      </c>
      <c r="G777" s="71" t="str">
        <f t="shared" si="13"/>
        <v>811</v>
      </c>
    </row>
    <row r="778" spans="1:7" ht="56.25">
      <c r="A778" s="377" t="s">
        <v>2419</v>
      </c>
      <c r="B778" s="374">
        <v>200</v>
      </c>
      <c r="C778" s="372" t="s">
        <v>2420</v>
      </c>
      <c r="D778" s="382">
        <v>35928973.47</v>
      </c>
      <c r="E778" s="383">
        <v>25693453.15</v>
      </c>
      <c r="F778" s="384">
        <v>10235520.32</v>
      </c>
      <c r="G778" s="71" t="str">
        <f t="shared" si="13"/>
        <v>000</v>
      </c>
    </row>
    <row r="779" spans="1:7" ht="12.75">
      <c r="A779" s="373" t="s">
        <v>42</v>
      </c>
      <c r="B779" s="374">
        <v>200</v>
      </c>
      <c r="C779" s="372" t="s">
        <v>2421</v>
      </c>
      <c r="D779" s="382">
        <v>17955500</v>
      </c>
      <c r="E779" s="383">
        <v>12840300</v>
      </c>
      <c r="F779" s="384">
        <v>5115200</v>
      </c>
      <c r="G779" s="71" t="str">
        <f t="shared" si="13"/>
        <v>500</v>
      </c>
    </row>
    <row r="780" spans="1:7" ht="12.75">
      <c r="A780" s="370" t="s">
        <v>512</v>
      </c>
      <c r="B780" s="371">
        <v>200</v>
      </c>
      <c r="C780" s="369" t="s">
        <v>2422</v>
      </c>
      <c r="D780" s="385">
        <v>17955500</v>
      </c>
      <c r="E780" s="380">
        <v>12840300</v>
      </c>
      <c r="F780" s="386">
        <v>5115200</v>
      </c>
      <c r="G780" s="71" t="str">
        <f t="shared" si="13"/>
        <v>540</v>
      </c>
    </row>
    <row r="781" spans="1:7" ht="12.75">
      <c r="A781" s="373" t="s">
        <v>39</v>
      </c>
      <c r="B781" s="374">
        <v>200</v>
      </c>
      <c r="C781" s="372" t="s">
        <v>2486</v>
      </c>
      <c r="D781" s="382">
        <v>17973473.47</v>
      </c>
      <c r="E781" s="383">
        <v>12853153.15</v>
      </c>
      <c r="F781" s="384">
        <v>5120320.32</v>
      </c>
      <c r="G781" s="71" t="str">
        <f t="shared" si="13"/>
        <v>800</v>
      </c>
    </row>
    <row r="782" spans="1:7" ht="33.75">
      <c r="A782" s="373" t="s">
        <v>1046</v>
      </c>
      <c r="B782" s="374">
        <v>200</v>
      </c>
      <c r="C782" s="372" t="s">
        <v>2487</v>
      </c>
      <c r="D782" s="382">
        <v>17973473.47</v>
      </c>
      <c r="E782" s="383">
        <v>12853153.15</v>
      </c>
      <c r="F782" s="384">
        <v>5120320.32</v>
      </c>
      <c r="G782" s="71" t="str">
        <f t="shared" si="13"/>
        <v>810</v>
      </c>
    </row>
    <row r="783" spans="1:7" ht="33.75">
      <c r="A783" s="370" t="s">
        <v>2093</v>
      </c>
      <c r="B783" s="371">
        <v>200</v>
      </c>
      <c r="C783" s="369" t="s">
        <v>2488</v>
      </c>
      <c r="D783" s="385">
        <v>17973473.47</v>
      </c>
      <c r="E783" s="380">
        <v>12853153.15</v>
      </c>
      <c r="F783" s="386">
        <v>5120320.32</v>
      </c>
      <c r="G783" s="71" t="str">
        <f t="shared" si="13"/>
        <v>811</v>
      </c>
    </row>
    <row r="784" spans="1:7" ht="12.75">
      <c r="A784" s="373" t="s">
        <v>1886</v>
      </c>
      <c r="B784" s="374">
        <v>200</v>
      </c>
      <c r="C784" s="372" t="s">
        <v>1887</v>
      </c>
      <c r="D784" s="382">
        <v>10673467</v>
      </c>
      <c r="E784" s="383">
        <v>10578041</v>
      </c>
      <c r="F784" s="384">
        <v>95426</v>
      </c>
      <c r="G784" s="71" t="str">
        <f t="shared" si="13"/>
        <v>000</v>
      </c>
    </row>
    <row r="785" spans="1:7" ht="56.25">
      <c r="A785" s="377" t="s">
        <v>1604</v>
      </c>
      <c r="B785" s="374">
        <v>200</v>
      </c>
      <c r="C785" s="372" t="s">
        <v>2423</v>
      </c>
      <c r="D785" s="382">
        <v>9028440</v>
      </c>
      <c r="E785" s="383">
        <v>9028440</v>
      </c>
      <c r="F785" s="384">
        <v>0</v>
      </c>
      <c r="G785" s="71" t="str">
        <f t="shared" si="13"/>
        <v>000</v>
      </c>
    </row>
    <row r="786" spans="1:7" ht="12.75">
      <c r="A786" s="373" t="s">
        <v>1889</v>
      </c>
      <c r="B786" s="374">
        <v>200</v>
      </c>
      <c r="C786" s="372" t="s">
        <v>2424</v>
      </c>
      <c r="D786" s="382">
        <v>9028440</v>
      </c>
      <c r="E786" s="383">
        <v>9028440</v>
      </c>
      <c r="F786" s="384">
        <v>0</v>
      </c>
      <c r="G786" s="71" t="str">
        <f t="shared" si="13"/>
        <v>000</v>
      </c>
    </row>
    <row r="787" spans="1:7" ht="12.75">
      <c r="A787" s="373" t="s">
        <v>42</v>
      </c>
      <c r="B787" s="374">
        <v>200</v>
      </c>
      <c r="C787" s="372" t="s">
        <v>2425</v>
      </c>
      <c r="D787" s="382">
        <v>9028440</v>
      </c>
      <c r="E787" s="383">
        <v>9028440</v>
      </c>
      <c r="F787" s="384">
        <v>0</v>
      </c>
      <c r="G787" s="71" t="str">
        <f t="shared" si="13"/>
        <v>500</v>
      </c>
    </row>
    <row r="788" spans="1:7" ht="12.75">
      <c r="A788" s="370" t="s">
        <v>512</v>
      </c>
      <c r="B788" s="371">
        <v>200</v>
      </c>
      <c r="C788" s="369" t="s">
        <v>2426</v>
      </c>
      <c r="D788" s="385">
        <v>9028440</v>
      </c>
      <c r="E788" s="380">
        <v>9028440</v>
      </c>
      <c r="F788" s="386">
        <v>0</v>
      </c>
      <c r="G788" s="71" t="str">
        <f t="shared" si="13"/>
        <v>540</v>
      </c>
    </row>
    <row r="789" spans="1:7" ht="12.75">
      <c r="A789" s="373" t="s">
        <v>243</v>
      </c>
      <c r="B789" s="374">
        <v>200</v>
      </c>
      <c r="C789" s="372" t="s">
        <v>1888</v>
      </c>
      <c r="D789" s="382">
        <v>1645027</v>
      </c>
      <c r="E789" s="383">
        <v>1549601</v>
      </c>
      <c r="F789" s="384">
        <v>95426</v>
      </c>
      <c r="G789" s="71" t="str">
        <f t="shared" si="13"/>
        <v>000</v>
      </c>
    </row>
    <row r="790" spans="1:7" ht="22.5">
      <c r="A790" s="373" t="s">
        <v>2193</v>
      </c>
      <c r="B790" s="374">
        <v>200</v>
      </c>
      <c r="C790" s="372" t="s">
        <v>2219</v>
      </c>
      <c r="D790" s="382">
        <v>1645027</v>
      </c>
      <c r="E790" s="383">
        <v>1549601</v>
      </c>
      <c r="F790" s="384">
        <v>95426</v>
      </c>
      <c r="G790" s="71" t="str">
        <f t="shared" si="13"/>
        <v>000</v>
      </c>
    </row>
    <row r="791" spans="1:7" ht="12.75">
      <c r="A791" s="373" t="s">
        <v>42</v>
      </c>
      <c r="B791" s="374">
        <v>200</v>
      </c>
      <c r="C791" s="372" t="s">
        <v>2220</v>
      </c>
      <c r="D791" s="382">
        <v>1645027</v>
      </c>
      <c r="E791" s="383">
        <v>1549601</v>
      </c>
      <c r="F791" s="384">
        <v>95426</v>
      </c>
      <c r="G791" s="71" t="str">
        <f t="shared" si="13"/>
        <v>500</v>
      </c>
    </row>
    <row r="792" spans="1:7" ht="12.75">
      <c r="A792" s="370" t="s">
        <v>512</v>
      </c>
      <c r="B792" s="371">
        <v>200</v>
      </c>
      <c r="C792" s="369" t="s">
        <v>2221</v>
      </c>
      <c r="D792" s="385">
        <v>1645027</v>
      </c>
      <c r="E792" s="380">
        <v>1549601</v>
      </c>
      <c r="F792" s="386">
        <v>95426</v>
      </c>
      <c r="G792" s="71" t="str">
        <f t="shared" si="13"/>
        <v>540</v>
      </c>
    </row>
    <row r="793" spans="1:7" ht="12.75">
      <c r="A793" s="373" t="s">
        <v>2042</v>
      </c>
      <c r="B793" s="374">
        <v>200</v>
      </c>
      <c r="C793" s="372" t="s">
        <v>2043</v>
      </c>
      <c r="D793" s="382">
        <v>8600000</v>
      </c>
      <c r="E793" s="383">
        <v>8600000</v>
      </c>
      <c r="F793" s="384">
        <v>0</v>
      </c>
      <c r="G793" s="71" t="str">
        <f t="shared" si="13"/>
        <v>000</v>
      </c>
    </row>
    <row r="794" spans="1:7" ht="12.75">
      <c r="A794" s="373" t="s">
        <v>243</v>
      </c>
      <c r="B794" s="374">
        <v>200</v>
      </c>
      <c r="C794" s="372" t="s">
        <v>2044</v>
      </c>
      <c r="D794" s="382">
        <v>8600000</v>
      </c>
      <c r="E794" s="383">
        <v>8600000</v>
      </c>
      <c r="F794" s="384">
        <v>0</v>
      </c>
      <c r="G794" s="71" t="str">
        <f t="shared" si="13"/>
        <v>000</v>
      </c>
    </row>
    <row r="795" spans="1:7" ht="78.75">
      <c r="A795" s="377" t="s">
        <v>2094</v>
      </c>
      <c r="B795" s="374">
        <v>200</v>
      </c>
      <c r="C795" s="372" t="s">
        <v>2222</v>
      </c>
      <c r="D795" s="382">
        <v>8600000</v>
      </c>
      <c r="E795" s="383">
        <v>8600000</v>
      </c>
      <c r="F795" s="384">
        <v>0</v>
      </c>
      <c r="G795" s="71" t="str">
        <f t="shared" si="13"/>
        <v>000</v>
      </c>
    </row>
    <row r="796" spans="1:7" ht="12.75">
      <c r="A796" s="373" t="s">
        <v>42</v>
      </c>
      <c r="B796" s="374">
        <v>200</v>
      </c>
      <c r="C796" s="372" t="s">
        <v>2223</v>
      </c>
      <c r="D796" s="382">
        <v>8600000</v>
      </c>
      <c r="E796" s="383">
        <v>8600000</v>
      </c>
      <c r="F796" s="384">
        <v>0</v>
      </c>
      <c r="G796" s="71" t="str">
        <f t="shared" si="13"/>
        <v>500</v>
      </c>
    </row>
    <row r="797" spans="1:7" ht="12.75">
      <c r="A797" s="370" t="s">
        <v>512</v>
      </c>
      <c r="B797" s="371">
        <v>200</v>
      </c>
      <c r="C797" s="369" t="s">
        <v>2224</v>
      </c>
      <c r="D797" s="385">
        <v>8600000</v>
      </c>
      <c r="E797" s="380">
        <v>8600000</v>
      </c>
      <c r="F797" s="386">
        <v>0</v>
      </c>
      <c r="G797" s="71" t="str">
        <f t="shared" si="13"/>
        <v>540</v>
      </c>
    </row>
    <row r="798" spans="1:7" ht="12.75">
      <c r="A798" s="373" t="s">
        <v>656</v>
      </c>
      <c r="B798" s="374">
        <v>200</v>
      </c>
      <c r="C798" s="372" t="s">
        <v>2045</v>
      </c>
      <c r="D798" s="382">
        <v>9136505.69</v>
      </c>
      <c r="E798" s="383">
        <v>9136505.69</v>
      </c>
      <c r="F798" s="384">
        <v>0</v>
      </c>
      <c r="G798" s="71" t="str">
        <f t="shared" si="13"/>
        <v>000</v>
      </c>
    </row>
    <row r="799" spans="1:7" ht="12.75">
      <c r="A799" s="373" t="s">
        <v>2046</v>
      </c>
      <c r="B799" s="374">
        <v>200</v>
      </c>
      <c r="C799" s="372" t="s">
        <v>2047</v>
      </c>
      <c r="D799" s="382">
        <v>536505.69</v>
      </c>
      <c r="E799" s="383">
        <v>536505.69</v>
      </c>
      <c r="F799" s="384">
        <v>0</v>
      </c>
      <c r="G799" s="71" t="str">
        <f t="shared" si="13"/>
        <v>000</v>
      </c>
    </row>
    <row r="800" spans="1:7" ht="56.25">
      <c r="A800" s="377" t="s">
        <v>1604</v>
      </c>
      <c r="B800" s="374">
        <v>200</v>
      </c>
      <c r="C800" s="372" t="s">
        <v>2048</v>
      </c>
      <c r="D800" s="382">
        <v>536505.69</v>
      </c>
      <c r="E800" s="383">
        <v>536505.69</v>
      </c>
      <c r="F800" s="384">
        <v>0</v>
      </c>
      <c r="G800" s="71" t="str">
        <f t="shared" si="13"/>
        <v>000</v>
      </c>
    </row>
    <row r="801" spans="1:7" ht="22.5">
      <c r="A801" s="373" t="s">
        <v>2309</v>
      </c>
      <c r="B801" s="374">
        <v>200</v>
      </c>
      <c r="C801" s="372" t="s">
        <v>2310</v>
      </c>
      <c r="D801" s="382">
        <v>536505.69</v>
      </c>
      <c r="E801" s="383">
        <v>536505.69</v>
      </c>
      <c r="F801" s="384">
        <v>0</v>
      </c>
      <c r="G801" s="71" t="str">
        <f t="shared" si="13"/>
        <v>000</v>
      </c>
    </row>
    <row r="802" spans="1:7" ht="12.75">
      <c r="A802" s="373" t="s">
        <v>39</v>
      </c>
      <c r="B802" s="374">
        <v>200</v>
      </c>
      <c r="C802" s="372" t="s">
        <v>2311</v>
      </c>
      <c r="D802" s="382">
        <v>536505.69</v>
      </c>
      <c r="E802" s="383">
        <v>536505.69</v>
      </c>
      <c r="F802" s="384">
        <v>0</v>
      </c>
      <c r="G802" s="71" t="str">
        <f t="shared" si="13"/>
        <v>800</v>
      </c>
    </row>
    <row r="803" spans="1:7" ht="12.75">
      <c r="A803" s="373" t="s">
        <v>1817</v>
      </c>
      <c r="B803" s="374">
        <v>200</v>
      </c>
      <c r="C803" s="372" t="s">
        <v>2312</v>
      </c>
      <c r="D803" s="382">
        <v>526395.69</v>
      </c>
      <c r="E803" s="383">
        <v>526395.69</v>
      </c>
      <c r="F803" s="384">
        <v>0</v>
      </c>
      <c r="G803" s="71" t="str">
        <f t="shared" si="13"/>
        <v>830</v>
      </c>
    </row>
    <row r="804" spans="1:7" ht="22.5">
      <c r="A804" s="370" t="s">
        <v>1819</v>
      </c>
      <c r="B804" s="371">
        <v>200</v>
      </c>
      <c r="C804" s="369" t="s">
        <v>2313</v>
      </c>
      <c r="D804" s="385">
        <v>526395.69</v>
      </c>
      <c r="E804" s="380">
        <v>526395.69</v>
      </c>
      <c r="F804" s="386">
        <v>0</v>
      </c>
      <c r="G804" s="71" t="str">
        <f t="shared" si="13"/>
        <v>831</v>
      </c>
    </row>
    <row r="805" spans="1:7" ht="12.75">
      <c r="A805" s="373" t="s">
        <v>40</v>
      </c>
      <c r="B805" s="374">
        <v>200</v>
      </c>
      <c r="C805" s="372" t="s">
        <v>2314</v>
      </c>
      <c r="D805" s="382">
        <v>10110</v>
      </c>
      <c r="E805" s="383">
        <v>10110</v>
      </c>
      <c r="F805" s="384">
        <v>0</v>
      </c>
      <c r="G805" s="71" t="str">
        <f t="shared" si="13"/>
        <v>850</v>
      </c>
    </row>
    <row r="806" spans="1:7" ht="12.75">
      <c r="A806" s="370" t="s">
        <v>1375</v>
      </c>
      <c r="B806" s="371">
        <v>200</v>
      </c>
      <c r="C806" s="369" t="s">
        <v>2315</v>
      </c>
      <c r="D806" s="385">
        <v>10110</v>
      </c>
      <c r="E806" s="380">
        <v>10110</v>
      </c>
      <c r="F806" s="386">
        <v>0</v>
      </c>
      <c r="G806" s="71" t="str">
        <f t="shared" si="13"/>
        <v>853</v>
      </c>
    </row>
    <row r="807" spans="1:7" ht="12.75">
      <c r="A807" s="373" t="s">
        <v>260</v>
      </c>
      <c r="B807" s="374">
        <v>200</v>
      </c>
      <c r="C807" s="372" t="s">
        <v>2427</v>
      </c>
      <c r="D807" s="382">
        <v>8600000</v>
      </c>
      <c r="E807" s="383">
        <v>8600000</v>
      </c>
      <c r="F807" s="384">
        <v>0</v>
      </c>
      <c r="G807" s="71" t="str">
        <f t="shared" si="13"/>
        <v>000</v>
      </c>
    </row>
    <row r="808" spans="1:7" ht="56.25">
      <c r="A808" s="377" t="s">
        <v>1604</v>
      </c>
      <c r="B808" s="374">
        <v>200</v>
      </c>
      <c r="C808" s="372" t="s">
        <v>2428</v>
      </c>
      <c r="D808" s="382">
        <v>8600000</v>
      </c>
      <c r="E808" s="383">
        <v>8600000</v>
      </c>
      <c r="F808" s="384">
        <v>0</v>
      </c>
      <c r="G808" s="71" t="str">
        <f t="shared" si="13"/>
        <v>000</v>
      </c>
    </row>
    <row r="809" spans="1:7" ht="22.5">
      <c r="A809" s="373" t="s">
        <v>2225</v>
      </c>
      <c r="B809" s="374">
        <v>200</v>
      </c>
      <c r="C809" s="372" t="s">
        <v>2429</v>
      </c>
      <c r="D809" s="382">
        <v>8600000</v>
      </c>
      <c r="E809" s="383">
        <v>8600000</v>
      </c>
      <c r="F809" s="384">
        <v>0</v>
      </c>
      <c r="G809" s="71" t="str">
        <f t="shared" si="13"/>
        <v>000</v>
      </c>
    </row>
    <row r="810" spans="1:7" ht="22.5">
      <c r="A810" s="373" t="s">
        <v>411</v>
      </c>
      <c r="B810" s="374">
        <v>200</v>
      </c>
      <c r="C810" s="372" t="s">
        <v>2430</v>
      </c>
      <c r="D810" s="382">
        <v>8600000</v>
      </c>
      <c r="E810" s="383">
        <v>8600000</v>
      </c>
      <c r="F810" s="384">
        <v>0</v>
      </c>
      <c r="G810" s="71" t="str">
        <f t="shared" si="13"/>
        <v>200</v>
      </c>
    </row>
    <row r="811" spans="1:7" ht="22.5">
      <c r="A811" s="373" t="s">
        <v>38</v>
      </c>
      <c r="B811" s="374">
        <v>200</v>
      </c>
      <c r="C811" s="372" t="s">
        <v>2431</v>
      </c>
      <c r="D811" s="382">
        <v>8600000</v>
      </c>
      <c r="E811" s="383">
        <v>8600000</v>
      </c>
      <c r="F811" s="384">
        <v>0</v>
      </c>
      <c r="G811" s="71" t="str">
        <f t="shared" si="13"/>
        <v>240</v>
      </c>
    </row>
    <row r="812" spans="1:7" ht="12.75">
      <c r="A812" s="370" t="s">
        <v>1658</v>
      </c>
      <c r="B812" s="371">
        <v>200</v>
      </c>
      <c r="C812" s="369" t="s">
        <v>2432</v>
      </c>
      <c r="D812" s="385">
        <v>8600000</v>
      </c>
      <c r="E812" s="380">
        <v>8600000</v>
      </c>
      <c r="F812" s="386">
        <v>0</v>
      </c>
      <c r="G812" s="71" t="str">
        <f t="shared" si="13"/>
        <v>244</v>
      </c>
    </row>
    <row r="813" spans="1:7" ht="12.75">
      <c r="A813" s="373" t="s">
        <v>1373</v>
      </c>
      <c r="B813" s="374">
        <v>200</v>
      </c>
      <c r="C813" s="372" t="s">
        <v>1106</v>
      </c>
      <c r="D813" s="382">
        <v>421080357.24</v>
      </c>
      <c r="E813" s="383">
        <v>367403167.43</v>
      </c>
      <c r="F813" s="384">
        <v>53677189.81</v>
      </c>
      <c r="G813" s="71" t="str">
        <f t="shared" si="13"/>
        <v>000</v>
      </c>
    </row>
    <row r="814" spans="1:7" ht="12.75">
      <c r="A814" s="373" t="s">
        <v>59</v>
      </c>
      <c r="B814" s="374">
        <v>200</v>
      </c>
      <c r="C814" s="372" t="s">
        <v>1107</v>
      </c>
      <c r="D814" s="382">
        <v>29297244.57</v>
      </c>
      <c r="E814" s="383">
        <v>29197048.68</v>
      </c>
      <c r="F814" s="384">
        <v>100195.89</v>
      </c>
      <c r="G814" s="71" t="str">
        <f t="shared" si="13"/>
        <v>000</v>
      </c>
    </row>
    <row r="815" spans="1:7" ht="56.25">
      <c r="A815" s="377" t="s">
        <v>1604</v>
      </c>
      <c r="B815" s="374">
        <v>200</v>
      </c>
      <c r="C815" s="372" t="s">
        <v>1108</v>
      </c>
      <c r="D815" s="382">
        <v>29297244.57</v>
      </c>
      <c r="E815" s="383">
        <v>29197048.68</v>
      </c>
      <c r="F815" s="384">
        <v>100195.89</v>
      </c>
      <c r="G815" s="71" t="str">
        <f t="shared" si="13"/>
        <v>000</v>
      </c>
    </row>
    <row r="816" spans="1:7" ht="78.75">
      <c r="A816" s="377" t="s">
        <v>1605</v>
      </c>
      <c r="B816" s="374">
        <v>200</v>
      </c>
      <c r="C816" s="372" t="s">
        <v>1109</v>
      </c>
      <c r="D816" s="382">
        <v>29297244.57</v>
      </c>
      <c r="E816" s="383">
        <v>29197048.68</v>
      </c>
      <c r="F816" s="384">
        <v>100195.89</v>
      </c>
      <c r="G816" s="71" t="str">
        <f t="shared" si="13"/>
        <v>000</v>
      </c>
    </row>
    <row r="817" spans="1:7" ht="22.5">
      <c r="A817" s="373" t="s">
        <v>644</v>
      </c>
      <c r="B817" s="374">
        <v>200</v>
      </c>
      <c r="C817" s="372" t="s">
        <v>1110</v>
      </c>
      <c r="D817" s="382">
        <v>29297244.57</v>
      </c>
      <c r="E817" s="383">
        <v>29197048.68</v>
      </c>
      <c r="F817" s="384">
        <v>100195.89</v>
      </c>
      <c r="G817" s="71" t="str">
        <f t="shared" si="13"/>
        <v>000</v>
      </c>
    </row>
    <row r="818" spans="1:7" ht="22.5">
      <c r="A818" s="373" t="s">
        <v>411</v>
      </c>
      <c r="B818" s="374">
        <v>200</v>
      </c>
      <c r="C818" s="372" t="s">
        <v>1111</v>
      </c>
      <c r="D818" s="382">
        <v>29297244.57</v>
      </c>
      <c r="E818" s="383">
        <v>29197048.68</v>
      </c>
      <c r="F818" s="384">
        <v>100195.89</v>
      </c>
      <c r="G818" s="71" t="str">
        <f t="shared" si="13"/>
        <v>200</v>
      </c>
    </row>
    <row r="819" spans="1:7" ht="22.5">
      <c r="A819" s="373" t="s">
        <v>38</v>
      </c>
      <c r="B819" s="374">
        <v>200</v>
      </c>
      <c r="C819" s="372" t="s">
        <v>1112</v>
      </c>
      <c r="D819" s="382">
        <v>29297244.57</v>
      </c>
      <c r="E819" s="383">
        <v>29197048.68</v>
      </c>
      <c r="F819" s="384">
        <v>100195.89</v>
      </c>
      <c r="G819" s="71" t="str">
        <f t="shared" si="13"/>
        <v>240</v>
      </c>
    </row>
    <row r="820" spans="1:7" ht="22.5">
      <c r="A820" s="370" t="s">
        <v>637</v>
      </c>
      <c r="B820" s="371">
        <v>200</v>
      </c>
      <c r="C820" s="369" t="s">
        <v>1113</v>
      </c>
      <c r="D820" s="385">
        <v>29098849.16</v>
      </c>
      <c r="E820" s="380">
        <v>28998653.27</v>
      </c>
      <c r="F820" s="386">
        <v>100195.89</v>
      </c>
      <c r="G820" s="71" t="str">
        <f aca="true" t="shared" si="14" ref="G820:G879">RIGHT(C820,3)</f>
        <v>243</v>
      </c>
    </row>
    <row r="821" spans="1:7" ht="12.75">
      <c r="A821" s="370" t="s">
        <v>1658</v>
      </c>
      <c r="B821" s="371">
        <v>200</v>
      </c>
      <c r="C821" s="369" t="s">
        <v>2049</v>
      </c>
      <c r="D821" s="385">
        <v>198395.41</v>
      </c>
      <c r="E821" s="380">
        <v>198395.41</v>
      </c>
      <c r="F821" s="386">
        <v>0</v>
      </c>
      <c r="G821" s="71" t="str">
        <f t="shared" si="14"/>
        <v>244</v>
      </c>
    </row>
    <row r="822" spans="1:7" ht="12.75">
      <c r="A822" s="373" t="s">
        <v>60</v>
      </c>
      <c r="B822" s="374">
        <v>200</v>
      </c>
      <c r="C822" s="372" t="s">
        <v>1114</v>
      </c>
      <c r="D822" s="382">
        <v>281484124.95</v>
      </c>
      <c r="E822" s="383">
        <v>272101137.2</v>
      </c>
      <c r="F822" s="384">
        <v>9382987.75</v>
      </c>
      <c r="G822" s="71" t="str">
        <f t="shared" si="14"/>
        <v>000</v>
      </c>
    </row>
    <row r="823" spans="1:7" ht="56.25">
      <c r="A823" s="377" t="s">
        <v>1604</v>
      </c>
      <c r="B823" s="374">
        <v>200</v>
      </c>
      <c r="C823" s="372" t="s">
        <v>1115</v>
      </c>
      <c r="D823" s="382">
        <v>281484124.95</v>
      </c>
      <c r="E823" s="383">
        <v>272101137.2</v>
      </c>
      <c r="F823" s="384">
        <v>9382987.75</v>
      </c>
      <c r="G823" s="71" t="str">
        <f t="shared" si="14"/>
        <v>000</v>
      </c>
    </row>
    <row r="824" spans="1:7" ht="78.75">
      <c r="A824" s="377" t="s">
        <v>1605</v>
      </c>
      <c r="B824" s="374">
        <v>200</v>
      </c>
      <c r="C824" s="372" t="s">
        <v>1116</v>
      </c>
      <c r="D824" s="382">
        <v>281484124.95</v>
      </c>
      <c r="E824" s="383">
        <v>272101137.2</v>
      </c>
      <c r="F824" s="384">
        <v>9382987.75</v>
      </c>
      <c r="G824" s="71" t="str">
        <f t="shared" si="14"/>
        <v>000</v>
      </c>
    </row>
    <row r="825" spans="1:7" ht="22.5">
      <c r="A825" s="373" t="s">
        <v>645</v>
      </c>
      <c r="B825" s="374">
        <v>200</v>
      </c>
      <c r="C825" s="372" t="s">
        <v>1117</v>
      </c>
      <c r="D825" s="382">
        <v>28970906.7</v>
      </c>
      <c r="E825" s="383">
        <v>27846713.9</v>
      </c>
      <c r="F825" s="384">
        <v>1124192.8</v>
      </c>
      <c r="G825" s="71" t="str">
        <f t="shared" si="14"/>
        <v>000</v>
      </c>
    </row>
    <row r="826" spans="1:7" ht="22.5">
      <c r="A826" s="373" t="s">
        <v>411</v>
      </c>
      <c r="B826" s="374">
        <v>200</v>
      </c>
      <c r="C826" s="372" t="s">
        <v>1118</v>
      </c>
      <c r="D826" s="382">
        <v>27421223.57</v>
      </c>
      <c r="E826" s="383">
        <v>27421223.57</v>
      </c>
      <c r="F826" s="384">
        <v>0</v>
      </c>
      <c r="G826" s="71" t="str">
        <f t="shared" si="14"/>
        <v>200</v>
      </c>
    </row>
    <row r="827" spans="1:7" ht="22.5">
      <c r="A827" s="373" t="s">
        <v>38</v>
      </c>
      <c r="B827" s="374">
        <v>200</v>
      </c>
      <c r="C827" s="372" t="s">
        <v>1119</v>
      </c>
      <c r="D827" s="382">
        <v>27421223.57</v>
      </c>
      <c r="E827" s="383">
        <v>27421223.57</v>
      </c>
      <c r="F827" s="384">
        <v>0</v>
      </c>
      <c r="G827" s="71" t="str">
        <f t="shared" si="14"/>
        <v>240</v>
      </c>
    </row>
    <row r="828" spans="1:7" ht="22.5">
      <c r="A828" s="370" t="s">
        <v>637</v>
      </c>
      <c r="B828" s="371">
        <v>200</v>
      </c>
      <c r="C828" s="369" t="s">
        <v>1120</v>
      </c>
      <c r="D828" s="385">
        <v>27421223.57</v>
      </c>
      <c r="E828" s="380">
        <v>27421223.57</v>
      </c>
      <c r="F828" s="386">
        <v>0</v>
      </c>
      <c r="G828" s="71" t="str">
        <f t="shared" si="14"/>
        <v>243</v>
      </c>
    </row>
    <row r="829" spans="1:7" ht="22.5">
      <c r="A829" s="373" t="s">
        <v>1159</v>
      </c>
      <c r="B829" s="374">
        <v>200</v>
      </c>
      <c r="C829" s="372" t="s">
        <v>1162</v>
      </c>
      <c r="D829" s="382">
        <v>1549683.13</v>
      </c>
      <c r="E829" s="383">
        <v>425490.33</v>
      </c>
      <c r="F829" s="384">
        <v>1124192.8</v>
      </c>
      <c r="G829" s="71" t="str">
        <f t="shared" si="14"/>
        <v>400</v>
      </c>
    </row>
    <row r="830" spans="1:7" ht="12.75">
      <c r="A830" s="373" t="s">
        <v>1160</v>
      </c>
      <c r="B830" s="374">
        <v>200</v>
      </c>
      <c r="C830" s="372" t="s">
        <v>1163</v>
      </c>
      <c r="D830" s="382">
        <v>1549683.13</v>
      </c>
      <c r="E830" s="383">
        <v>425490.33</v>
      </c>
      <c r="F830" s="384">
        <v>1124192.8</v>
      </c>
      <c r="G830" s="71" t="str">
        <f t="shared" si="14"/>
        <v>410</v>
      </c>
    </row>
    <row r="831" spans="1:7" ht="22.5">
      <c r="A831" s="370" t="s">
        <v>1161</v>
      </c>
      <c r="B831" s="371">
        <v>200</v>
      </c>
      <c r="C831" s="369" t="s">
        <v>1264</v>
      </c>
      <c r="D831" s="385">
        <v>1549683.13</v>
      </c>
      <c r="E831" s="380">
        <v>425490.33</v>
      </c>
      <c r="F831" s="386">
        <v>1124192.8</v>
      </c>
      <c r="G831" s="71" t="str">
        <f t="shared" si="14"/>
        <v>414</v>
      </c>
    </row>
    <row r="832" spans="1:7" ht="12.75">
      <c r="A832" s="373" t="s">
        <v>97</v>
      </c>
      <c r="B832" s="374">
        <v>200</v>
      </c>
      <c r="C832" s="372" t="s">
        <v>1121</v>
      </c>
      <c r="D832" s="382">
        <v>199288218.25</v>
      </c>
      <c r="E832" s="383">
        <v>191029423.3</v>
      </c>
      <c r="F832" s="384">
        <v>8258794.95</v>
      </c>
      <c r="G832" s="71" t="str">
        <f t="shared" si="14"/>
        <v>000</v>
      </c>
    </row>
    <row r="833" spans="1:7" ht="22.5">
      <c r="A833" s="373" t="s">
        <v>411</v>
      </c>
      <c r="B833" s="374">
        <v>200</v>
      </c>
      <c r="C833" s="372" t="s">
        <v>2433</v>
      </c>
      <c r="D833" s="382">
        <v>3327147.45</v>
      </c>
      <c r="E833" s="383">
        <v>3327147.45</v>
      </c>
      <c r="F833" s="384">
        <v>0</v>
      </c>
      <c r="G833" s="71" t="str">
        <f t="shared" si="14"/>
        <v>200</v>
      </c>
    </row>
    <row r="834" spans="1:7" ht="22.5">
      <c r="A834" s="373" t="s">
        <v>38</v>
      </c>
      <c r="B834" s="374">
        <v>200</v>
      </c>
      <c r="C834" s="372" t="s">
        <v>2434</v>
      </c>
      <c r="D834" s="382">
        <v>3327147.45</v>
      </c>
      <c r="E834" s="383">
        <v>3327147.45</v>
      </c>
      <c r="F834" s="384">
        <v>0</v>
      </c>
      <c r="G834" s="71" t="str">
        <f t="shared" si="14"/>
        <v>240</v>
      </c>
    </row>
    <row r="835" spans="1:7" ht="22.5">
      <c r="A835" s="370" t="s">
        <v>637</v>
      </c>
      <c r="B835" s="371">
        <v>200</v>
      </c>
      <c r="C835" s="369" t="s">
        <v>2435</v>
      </c>
      <c r="D835" s="385">
        <v>3327147.45</v>
      </c>
      <c r="E835" s="380">
        <v>3327147.45</v>
      </c>
      <c r="F835" s="386">
        <v>0</v>
      </c>
      <c r="G835" s="71" t="str">
        <f t="shared" si="14"/>
        <v>243</v>
      </c>
    </row>
    <row r="836" spans="1:7" ht="22.5">
      <c r="A836" s="373" t="s">
        <v>1159</v>
      </c>
      <c r="B836" s="374">
        <v>200</v>
      </c>
      <c r="C836" s="372" t="s">
        <v>1164</v>
      </c>
      <c r="D836" s="382">
        <v>195961070.8</v>
      </c>
      <c r="E836" s="383">
        <v>187702275.85</v>
      </c>
      <c r="F836" s="384">
        <v>8258794.95</v>
      </c>
      <c r="G836" s="71" t="str">
        <f t="shared" si="14"/>
        <v>400</v>
      </c>
    </row>
    <row r="837" spans="1:7" ht="12.75">
      <c r="A837" s="373" t="s">
        <v>1160</v>
      </c>
      <c r="B837" s="374">
        <v>200</v>
      </c>
      <c r="C837" s="372" t="s">
        <v>1165</v>
      </c>
      <c r="D837" s="382">
        <v>195961070.8</v>
      </c>
      <c r="E837" s="383">
        <v>187702275.85</v>
      </c>
      <c r="F837" s="384">
        <v>8258794.95</v>
      </c>
      <c r="G837" s="71" t="str">
        <f t="shared" si="14"/>
        <v>410</v>
      </c>
    </row>
    <row r="838" spans="1:7" ht="22.5">
      <c r="A838" s="370" t="s">
        <v>1161</v>
      </c>
      <c r="B838" s="371">
        <v>200</v>
      </c>
      <c r="C838" s="369" t="s">
        <v>1166</v>
      </c>
      <c r="D838" s="385">
        <v>195961070.8</v>
      </c>
      <c r="E838" s="380">
        <v>187702275.85</v>
      </c>
      <c r="F838" s="386">
        <v>8258794.95</v>
      </c>
      <c r="G838" s="71" t="str">
        <f t="shared" si="14"/>
        <v>414</v>
      </c>
    </row>
    <row r="839" spans="1:7" ht="12.75">
      <c r="A839" s="373" t="s">
        <v>1741</v>
      </c>
      <c r="B839" s="374">
        <v>200</v>
      </c>
      <c r="C839" s="372" t="s">
        <v>1265</v>
      </c>
      <c r="D839" s="382">
        <v>52500000</v>
      </c>
      <c r="E839" s="383">
        <v>52500000</v>
      </c>
      <c r="F839" s="384">
        <v>0</v>
      </c>
      <c r="G839" s="71" t="str">
        <f t="shared" si="14"/>
        <v>000</v>
      </c>
    </row>
    <row r="840" spans="1:7" ht="22.5">
      <c r="A840" s="373" t="s">
        <v>1159</v>
      </c>
      <c r="B840" s="374">
        <v>200</v>
      </c>
      <c r="C840" s="372" t="s">
        <v>1266</v>
      </c>
      <c r="D840" s="382">
        <v>52500000</v>
      </c>
      <c r="E840" s="383">
        <v>52500000</v>
      </c>
      <c r="F840" s="384">
        <v>0</v>
      </c>
      <c r="G840" s="71" t="str">
        <f t="shared" si="14"/>
        <v>400</v>
      </c>
    </row>
    <row r="841" spans="1:7" ht="12.75">
      <c r="A841" s="373" t="s">
        <v>1160</v>
      </c>
      <c r="B841" s="374">
        <v>200</v>
      </c>
      <c r="C841" s="372" t="s">
        <v>1267</v>
      </c>
      <c r="D841" s="382">
        <v>52500000</v>
      </c>
      <c r="E841" s="383">
        <v>52500000</v>
      </c>
      <c r="F841" s="384">
        <v>0</v>
      </c>
      <c r="G841" s="71" t="str">
        <f t="shared" si="14"/>
        <v>410</v>
      </c>
    </row>
    <row r="842" spans="1:7" ht="22.5">
      <c r="A842" s="370" t="s">
        <v>1161</v>
      </c>
      <c r="B842" s="371">
        <v>200</v>
      </c>
      <c r="C842" s="369" t="s">
        <v>1268</v>
      </c>
      <c r="D842" s="385">
        <v>52500000</v>
      </c>
      <c r="E842" s="380">
        <v>52500000</v>
      </c>
      <c r="F842" s="386">
        <v>0</v>
      </c>
      <c r="G842" s="71" t="str">
        <f t="shared" si="14"/>
        <v>414</v>
      </c>
    </row>
    <row r="843" spans="1:7" ht="22.5">
      <c r="A843" s="373" t="s">
        <v>1742</v>
      </c>
      <c r="B843" s="374">
        <v>200</v>
      </c>
      <c r="C843" s="372" t="s">
        <v>1425</v>
      </c>
      <c r="D843" s="382">
        <v>725000</v>
      </c>
      <c r="E843" s="383">
        <v>725000</v>
      </c>
      <c r="F843" s="384">
        <v>0</v>
      </c>
      <c r="G843" s="71" t="str">
        <f t="shared" si="14"/>
        <v>000</v>
      </c>
    </row>
    <row r="844" spans="1:7" ht="22.5">
      <c r="A844" s="373" t="s">
        <v>1159</v>
      </c>
      <c r="B844" s="374">
        <v>200</v>
      </c>
      <c r="C844" s="372" t="s">
        <v>1424</v>
      </c>
      <c r="D844" s="382">
        <v>725000</v>
      </c>
      <c r="E844" s="383">
        <v>725000</v>
      </c>
      <c r="F844" s="384">
        <v>0</v>
      </c>
      <c r="G844" s="71" t="str">
        <f t="shared" si="14"/>
        <v>400</v>
      </c>
    </row>
    <row r="845" spans="1:7" ht="12.75">
      <c r="A845" s="373" t="s">
        <v>1160</v>
      </c>
      <c r="B845" s="374">
        <v>200</v>
      </c>
      <c r="C845" s="372" t="s">
        <v>1423</v>
      </c>
      <c r="D845" s="382">
        <v>725000</v>
      </c>
      <c r="E845" s="383">
        <v>725000</v>
      </c>
      <c r="F845" s="384">
        <v>0</v>
      </c>
      <c r="G845" s="71" t="str">
        <f t="shared" si="14"/>
        <v>410</v>
      </c>
    </row>
    <row r="846" spans="1:7" ht="22.5">
      <c r="A846" s="370" t="s">
        <v>1161</v>
      </c>
      <c r="B846" s="371">
        <v>200</v>
      </c>
      <c r="C846" s="369" t="s">
        <v>1422</v>
      </c>
      <c r="D846" s="385">
        <v>725000</v>
      </c>
      <c r="E846" s="380">
        <v>725000</v>
      </c>
      <c r="F846" s="386">
        <v>0</v>
      </c>
      <c r="G846" s="71" t="str">
        <f t="shared" si="14"/>
        <v>414</v>
      </c>
    </row>
    <row r="847" spans="1:7" ht="12.75">
      <c r="A847" s="373" t="s">
        <v>472</v>
      </c>
      <c r="B847" s="374">
        <v>200</v>
      </c>
      <c r="C847" s="372" t="s">
        <v>1421</v>
      </c>
      <c r="D847" s="382">
        <v>110298987.72</v>
      </c>
      <c r="E847" s="383">
        <v>66104981.55</v>
      </c>
      <c r="F847" s="384">
        <v>44194006.17</v>
      </c>
      <c r="G847" s="71" t="str">
        <f t="shared" si="14"/>
        <v>000</v>
      </c>
    </row>
    <row r="848" spans="1:7" ht="56.25">
      <c r="A848" s="377" t="s">
        <v>1604</v>
      </c>
      <c r="B848" s="374">
        <v>200</v>
      </c>
      <c r="C848" s="372" t="s">
        <v>1420</v>
      </c>
      <c r="D848" s="382">
        <v>110298987.72</v>
      </c>
      <c r="E848" s="383">
        <v>66104981.55</v>
      </c>
      <c r="F848" s="384">
        <v>44194006.17</v>
      </c>
      <c r="G848" s="71" t="str">
        <f t="shared" si="14"/>
        <v>000</v>
      </c>
    </row>
    <row r="849" spans="1:7" ht="78.75">
      <c r="A849" s="377" t="s">
        <v>1605</v>
      </c>
      <c r="B849" s="374">
        <v>200</v>
      </c>
      <c r="C849" s="372" t="s">
        <v>698</v>
      </c>
      <c r="D849" s="382">
        <v>110298987.72</v>
      </c>
      <c r="E849" s="383">
        <v>66104981.55</v>
      </c>
      <c r="F849" s="384">
        <v>44194006.17</v>
      </c>
      <c r="G849" s="71" t="str">
        <f t="shared" si="14"/>
        <v>000</v>
      </c>
    </row>
    <row r="850" spans="1:7" ht="22.5">
      <c r="A850" s="373" t="s">
        <v>660</v>
      </c>
      <c r="B850" s="374">
        <v>200</v>
      </c>
      <c r="C850" s="372" t="s">
        <v>697</v>
      </c>
      <c r="D850" s="382">
        <v>110298987.72</v>
      </c>
      <c r="E850" s="383">
        <v>66104981.55</v>
      </c>
      <c r="F850" s="384">
        <v>44194006.17</v>
      </c>
      <c r="G850" s="71" t="str">
        <f t="shared" si="14"/>
        <v>000</v>
      </c>
    </row>
    <row r="851" spans="1:7" ht="22.5">
      <c r="A851" s="373" t="s">
        <v>1159</v>
      </c>
      <c r="B851" s="374">
        <v>200</v>
      </c>
      <c r="C851" s="372" t="s">
        <v>696</v>
      </c>
      <c r="D851" s="382">
        <v>110298987.72</v>
      </c>
      <c r="E851" s="383">
        <v>66104981.55</v>
      </c>
      <c r="F851" s="384">
        <v>44194006.17</v>
      </c>
      <c r="G851" s="71" t="str">
        <f t="shared" si="14"/>
        <v>400</v>
      </c>
    </row>
    <row r="852" spans="1:7" ht="12.75">
      <c r="A852" s="373" t="s">
        <v>1160</v>
      </c>
      <c r="B852" s="374">
        <v>200</v>
      </c>
      <c r="C852" s="372" t="s">
        <v>695</v>
      </c>
      <c r="D852" s="382">
        <v>110298987.72</v>
      </c>
      <c r="E852" s="383">
        <v>66104981.55</v>
      </c>
      <c r="F852" s="384">
        <v>44194006.17</v>
      </c>
      <c r="G852" s="71" t="str">
        <f t="shared" si="14"/>
        <v>410</v>
      </c>
    </row>
    <row r="853" spans="1:7" ht="22.5">
      <c r="A853" s="370" t="s">
        <v>1161</v>
      </c>
      <c r="B853" s="371">
        <v>200</v>
      </c>
      <c r="C853" s="369" t="s">
        <v>694</v>
      </c>
      <c r="D853" s="385">
        <v>110298987.72</v>
      </c>
      <c r="E853" s="380">
        <v>66104981.55</v>
      </c>
      <c r="F853" s="386">
        <v>44194006.17</v>
      </c>
      <c r="G853" s="71" t="str">
        <f t="shared" si="14"/>
        <v>414</v>
      </c>
    </row>
    <row r="854" spans="1:7" ht="12.75">
      <c r="A854" s="373" t="s">
        <v>95</v>
      </c>
      <c r="B854" s="374">
        <v>200</v>
      </c>
      <c r="C854" s="372" t="s">
        <v>1743</v>
      </c>
      <c r="D854" s="382">
        <v>2836613.92</v>
      </c>
      <c r="E854" s="383">
        <v>2486613.92</v>
      </c>
      <c r="F854" s="384">
        <v>350000</v>
      </c>
      <c r="G854" s="71" t="str">
        <f t="shared" si="14"/>
        <v>000</v>
      </c>
    </row>
    <row r="855" spans="1:7" ht="12.75">
      <c r="A855" s="373" t="s">
        <v>11</v>
      </c>
      <c r="B855" s="374">
        <v>200</v>
      </c>
      <c r="C855" s="372" t="s">
        <v>1744</v>
      </c>
      <c r="D855" s="382">
        <v>2836613.92</v>
      </c>
      <c r="E855" s="383">
        <v>2486613.92</v>
      </c>
      <c r="F855" s="384">
        <v>350000</v>
      </c>
      <c r="G855" s="71" t="str">
        <f t="shared" si="14"/>
        <v>000</v>
      </c>
    </row>
    <row r="856" spans="1:7" ht="56.25">
      <c r="A856" s="377" t="s">
        <v>1604</v>
      </c>
      <c r="B856" s="374">
        <v>200</v>
      </c>
      <c r="C856" s="372" t="s">
        <v>1745</v>
      </c>
      <c r="D856" s="382">
        <v>2836613.92</v>
      </c>
      <c r="E856" s="383">
        <v>2486613.92</v>
      </c>
      <c r="F856" s="384">
        <v>350000</v>
      </c>
      <c r="G856" s="71" t="str">
        <f t="shared" si="14"/>
        <v>000</v>
      </c>
    </row>
    <row r="857" spans="1:7" ht="78.75">
      <c r="A857" s="377" t="s">
        <v>1605</v>
      </c>
      <c r="B857" s="374">
        <v>200</v>
      </c>
      <c r="C857" s="372" t="s">
        <v>1746</v>
      </c>
      <c r="D857" s="382">
        <v>2836613.92</v>
      </c>
      <c r="E857" s="383">
        <v>2486613.92</v>
      </c>
      <c r="F857" s="384">
        <v>350000</v>
      </c>
      <c r="G857" s="71" t="str">
        <f t="shared" si="14"/>
        <v>000</v>
      </c>
    </row>
    <row r="858" spans="1:7" ht="12.75">
      <c r="A858" s="373" t="s">
        <v>107</v>
      </c>
      <c r="B858" s="374">
        <v>200</v>
      </c>
      <c r="C858" s="372" t="s">
        <v>1747</v>
      </c>
      <c r="D858" s="382">
        <v>2836613.92</v>
      </c>
      <c r="E858" s="383">
        <v>2486613.92</v>
      </c>
      <c r="F858" s="384">
        <v>350000</v>
      </c>
      <c r="G858" s="71" t="str">
        <f t="shared" si="14"/>
        <v>000</v>
      </c>
    </row>
    <row r="859" spans="1:7" ht="22.5">
      <c r="A859" s="373" t="s">
        <v>1159</v>
      </c>
      <c r="B859" s="374">
        <v>200</v>
      </c>
      <c r="C859" s="372" t="s">
        <v>1748</v>
      </c>
      <c r="D859" s="382">
        <v>2836613.92</v>
      </c>
      <c r="E859" s="383">
        <v>2486613.92</v>
      </c>
      <c r="F859" s="384">
        <v>350000</v>
      </c>
      <c r="G859" s="71" t="str">
        <f t="shared" si="14"/>
        <v>400</v>
      </c>
    </row>
    <row r="860" spans="1:7" ht="12.75">
      <c r="A860" s="373" t="s">
        <v>1160</v>
      </c>
      <c r="B860" s="374">
        <v>200</v>
      </c>
      <c r="C860" s="372" t="s">
        <v>1749</v>
      </c>
      <c r="D860" s="382">
        <v>2836613.92</v>
      </c>
      <c r="E860" s="383">
        <v>2486613.92</v>
      </c>
      <c r="F860" s="384">
        <v>350000</v>
      </c>
      <c r="G860" s="71" t="str">
        <f t="shared" si="14"/>
        <v>410</v>
      </c>
    </row>
    <row r="861" spans="1:7" ht="22.5">
      <c r="A861" s="370" t="s">
        <v>1161</v>
      </c>
      <c r="B861" s="371">
        <v>200</v>
      </c>
      <c r="C861" s="369" t="s">
        <v>1750</v>
      </c>
      <c r="D861" s="385">
        <v>2836613.92</v>
      </c>
      <c r="E861" s="380">
        <v>2486613.92</v>
      </c>
      <c r="F861" s="386">
        <v>350000</v>
      </c>
      <c r="G861" s="71" t="str">
        <f t="shared" si="14"/>
        <v>414</v>
      </c>
    </row>
    <row r="862" spans="1:7" ht="22.5">
      <c r="A862" s="373" t="s">
        <v>1122</v>
      </c>
      <c r="B862" s="374">
        <v>200</v>
      </c>
      <c r="C862" s="372" t="s">
        <v>1123</v>
      </c>
      <c r="D862" s="382">
        <v>929429820.44</v>
      </c>
      <c r="E862" s="383">
        <v>913864464.92</v>
      </c>
      <c r="F862" s="384">
        <v>15565355.52</v>
      </c>
      <c r="G862" s="71" t="str">
        <f t="shared" si="14"/>
        <v>000</v>
      </c>
    </row>
    <row r="863" spans="1:7" ht="12.75">
      <c r="A863" s="373" t="s">
        <v>94</v>
      </c>
      <c r="B863" s="374">
        <v>200</v>
      </c>
      <c r="C863" s="372" t="s">
        <v>1124</v>
      </c>
      <c r="D863" s="382">
        <v>279079007.21</v>
      </c>
      <c r="E863" s="383">
        <v>277200036.88</v>
      </c>
      <c r="F863" s="384">
        <v>1878970.33</v>
      </c>
      <c r="G863" s="71" t="str">
        <f t="shared" si="14"/>
        <v>000</v>
      </c>
    </row>
    <row r="864" spans="1:7" ht="12.75">
      <c r="A864" s="373" t="s">
        <v>1405</v>
      </c>
      <c r="B864" s="374">
        <v>200</v>
      </c>
      <c r="C864" s="372" t="s">
        <v>1125</v>
      </c>
      <c r="D864" s="382">
        <v>279079007.21</v>
      </c>
      <c r="E864" s="383">
        <v>277200036.88</v>
      </c>
      <c r="F864" s="384">
        <v>1878970.33</v>
      </c>
      <c r="G864" s="71" t="str">
        <f t="shared" si="14"/>
        <v>000</v>
      </c>
    </row>
    <row r="865" spans="1:7" ht="56.25">
      <c r="A865" s="377" t="s">
        <v>1604</v>
      </c>
      <c r="B865" s="374">
        <v>200</v>
      </c>
      <c r="C865" s="372" t="s">
        <v>1126</v>
      </c>
      <c r="D865" s="382">
        <v>254594048.91</v>
      </c>
      <c r="E865" s="383">
        <v>253753568.39</v>
      </c>
      <c r="F865" s="384">
        <v>840480.52</v>
      </c>
      <c r="G865" s="71" t="str">
        <f t="shared" si="14"/>
        <v>000</v>
      </c>
    </row>
    <row r="866" spans="1:7" ht="78.75">
      <c r="A866" s="377" t="s">
        <v>1608</v>
      </c>
      <c r="B866" s="374">
        <v>200</v>
      </c>
      <c r="C866" s="372" t="s">
        <v>1127</v>
      </c>
      <c r="D866" s="382">
        <v>254594048.91</v>
      </c>
      <c r="E866" s="383">
        <v>253753568.39</v>
      </c>
      <c r="F866" s="384">
        <v>840480.52</v>
      </c>
      <c r="G866" s="71" t="str">
        <f t="shared" si="14"/>
        <v>000</v>
      </c>
    </row>
    <row r="867" spans="1:7" ht="33.75">
      <c r="A867" s="373" t="s">
        <v>1353</v>
      </c>
      <c r="B867" s="374">
        <v>200</v>
      </c>
      <c r="C867" s="372" t="s">
        <v>1128</v>
      </c>
      <c r="D867" s="382">
        <v>10494715.05</v>
      </c>
      <c r="E867" s="383">
        <v>10494715.05</v>
      </c>
      <c r="F867" s="384">
        <v>0</v>
      </c>
      <c r="G867" s="71" t="str">
        <f t="shared" si="14"/>
        <v>000</v>
      </c>
    </row>
    <row r="868" spans="1:7" ht="22.5">
      <c r="A868" s="373" t="s">
        <v>411</v>
      </c>
      <c r="B868" s="374">
        <v>200</v>
      </c>
      <c r="C868" s="372" t="s">
        <v>1129</v>
      </c>
      <c r="D868" s="382">
        <v>10494715.05</v>
      </c>
      <c r="E868" s="383">
        <v>10494715.05</v>
      </c>
      <c r="F868" s="384">
        <v>0</v>
      </c>
      <c r="G868" s="71" t="str">
        <f t="shared" si="14"/>
        <v>200</v>
      </c>
    </row>
    <row r="869" spans="1:7" ht="22.5">
      <c r="A869" s="373" t="s">
        <v>38</v>
      </c>
      <c r="B869" s="374">
        <v>200</v>
      </c>
      <c r="C869" s="372" t="s">
        <v>1130</v>
      </c>
      <c r="D869" s="382">
        <v>10494715.05</v>
      </c>
      <c r="E869" s="383">
        <v>10494715.05</v>
      </c>
      <c r="F869" s="384">
        <v>0</v>
      </c>
      <c r="G869" s="71" t="str">
        <f t="shared" si="14"/>
        <v>240</v>
      </c>
    </row>
    <row r="870" spans="1:7" ht="12.75">
      <c r="A870" s="370" t="s">
        <v>1658</v>
      </c>
      <c r="B870" s="371">
        <v>200</v>
      </c>
      <c r="C870" s="369" t="s">
        <v>1587</v>
      </c>
      <c r="D870" s="385">
        <v>10494715.05</v>
      </c>
      <c r="E870" s="380">
        <v>10494715.05</v>
      </c>
      <c r="F870" s="386">
        <v>0</v>
      </c>
      <c r="G870" s="71" t="str">
        <f t="shared" si="14"/>
        <v>244</v>
      </c>
    </row>
    <row r="871" spans="1:7" ht="45">
      <c r="A871" s="373" t="s">
        <v>1354</v>
      </c>
      <c r="B871" s="374">
        <v>200</v>
      </c>
      <c r="C871" s="372" t="s">
        <v>1131</v>
      </c>
      <c r="D871" s="382">
        <v>39244948.9</v>
      </c>
      <c r="E871" s="383">
        <v>39244948.9</v>
      </c>
      <c r="F871" s="384">
        <v>0</v>
      </c>
      <c r="G871" s="71" t="str">
        <f t="shared" si="14"/>
        <v>000</v>
      </c>
    </row>
    <row r="872" spans="1:7" ht="22.5">
      <c r="A872" s="373" t="s">
        <v>411</v>
      </c>
      <c r="B872" s="374">
        <v>200</v>
      </c>
      <c r="C872" s="372" t="s">
        <v>1132</v>
      </c>
      <c r="D872" s="382">
        <v>39244948.9</v>
      </c>
      <c r="E872" s="383">
        <v>39244948.9</v>
      </c>
      <c r="F872" s="384">
        <v>0</v>
      </c>
      <c r="G872" s="71" t="str">
        <f t="shared" si="14"/>
        <v>200</v>
      </c>
    </row>
    <row r="873" spans="1:7" ht="22.5">
      <c r="A873" s="373" t="s">
        <v>38</v>
      </c>
      <c r="B873" s="374">
        <v>200</v>
      </c>
      <c r="C873" s="372" t="s">
        <v>1133</v>
      </c>
      <c r="D873" s="382">
        <v>39244948.9</v>
      </c>
      <c r="E873" s="383">
        <v>39244948.9</v>
      </c>
      <c r="F873" s="384">
        <v>0</v>
      </c>
      <c r="G873" s="71" t="str">
        <f t="shared" si="14"/>
        <v>240</v>
      </c>
    </row>
    <row r="874" spans="1:7" ht="12.75">
      <c r="A874" s="370" t="s">
        <v>1658</v>
      </c>
      <c r="B874" s="371">
        <v>200</v>
      </c>
      <c r="C874" s="369" t="s">
        <v>1134</v>
      </c>
      <c r="D874" s="385">
        <v>39244948.9</v>
      </c>
      <c r="E874" s="380">
        <v>39244948.9</v>
      </c>
      <c r="F874" s="386">
        <v>0</v>
      </c>
      <c r="G874" s="71" t="str">
        <f t="shared" si="14"/>
        <v>244</v>
      </c>
    </row>
    <row r="875" spans="1:7" ht="45">
      <c r="A875" s="373" t="s">
        <v>1355</v>
      </c>
      <c r="B875" s="374">
        <v>200</v>
      </c>
      <c r="C875" s="372" t="s">
        <v>1135</v>
      </c>
      <c r="D875" s="382">
        <v>2869107.06</v>
      </c>
      <c r="E875" s="383">
        <v>2869107.06</v>
      </c>
      <c r="F875" s="384">
        <v>0</v>
      </c>
      <c r="G875" s="71" t="str">
        <f t="shared" si="14"/>
        <v>000</v>
      </c>
    </row>
    <row r="876" spans="1:7" ht="22.5">
      <c r="A876" s="373" t="s">
        <v>411</v>
      </c>
      <c r="B876" s="374">
        <v>200</v>
      </c>
      <c r="C876" s="372" t="s">
        <v>1136</v>
      </c>
      <c r="D876" s="382">
        <v>2869107.06</v>
      </c>
      <c r="E876" s="383">
        <v>2869107.06</v>
      </c>
      <c r="F876" s="384">
        <v>0</v>
      </c>
      <c r="G876" s="71" t="str">
        <f t="shared" si="14"/>
        <v>200</v>
      </c>
    </row>
    <row r="877" spans="1:7" ht="22.5">
      <c r="A877" s="373" t="s">
        <v>38</v>
      </c>
      <c r="B877" s="374">
        <v>200</v>
      </c>
      <c r="C877" s="372" t="s">
        <v>1137</v>
      </c>
      <c r="D877" s="382">
        <v>2869107.06</v>
      </c>
      <c r="E877" s="383">
        <v>2869107.06</v>
      </c>
      <c r="F877" s="384">
        <v>0</v>
      </c>
      <c r="G877" s="71" t="str">
        <f t="shared" si="14"/>
        <v>240</v>
      </c>
    </row>
    <row r="878" spans="1:7" ht="12.75">
      <c r="A878" s="370" t="s">
        <v>1658</v>
      </c>
      <c r="B878" s="371">
        <v>200</v>
      </c>
      <c r="C878" s="369" t="s">
        <v>1588</v>
      </c>
      <c r="D878" s="385">
        <v>2869107.06</v>
      </c>
      <c r="E878" s="380">
        <v>2869107.06</v>
      </c>
      <c r="F878" s="386">
        <v>0</v>
      </c>
      <c r="G878" s="71" t="str">
        <f t="shared" si="14"/>
        <v>244</v>
      </c>
    </row>
    <row r="879" spans="1:7" ht="33.75">
      <c r="A879" s="373" t="s">
        <v>98</v>
      </c>
      <c r="B879" s="374">
        <v>200</v>
      </c>
      <c r="C879" s="372" t="s">
        <v>1138</v>
      </c>
      <c r="D879" s="382">
        <v>201985277.9</v>
      </c>
      <c r="E879" s="383">
        <v>201144797.38</v>
      </c>
      <c r="F879" s="384">
        <v>840480.52</v>
      </c>
      <c r="G879" s="71" t="str">
        <f t="shared" si="14"/>
        <v>000</v>
      </c>
    </row>
    <row r="880" spans="1:7" ht="22.5">
      <c r="A880" s="373" t="s">
        <v>411</v>
      </c>
      <c r="B880" s="374">
        <v>200</v>
      </c>
      <c r="C880" s="372" t="s">
        <v>1139</v>
      </c>
      <c r="D880" s="382">
        <v>201985277.9</v>
      </c>
      <c r="E880" s="383">
        <v>201144797.38</v>
      </c>
      <c r="F880" s="384">
        <v>840480.52</v>
      </c>
      <c r="G880" s="71" t="str">
        <f aca="true" t="shared" si="15" ref="G880:G938">RIGHT(C880,3)</f>
        <v>200</v>
      </c>
    </row>
    <row r="881" spans="1:7" ht="22.5">
      <c r="A881" s="373" t="s">
        <v>38</v>
      </c>
      <c r="B881" s="374">
        <v>200</v>
      </c>
      <c r="C881" s="372" t="s">
        <v>1140</v>
      </c>
      <c r="D881" s="382">
        <v>201985277.9</v>
      </c>
      <c r="E881" s="383">
        <v>201144797.38</v>
      </c>
      <c r="F881" s="384">
        <v>840480.52</v>
      </c>
      <c r="G881" s="71" t="str">
        <f t="shared" si="15"/>
        <v>240</v>
      </c>
    </row>
    <row r="882" spans="1:7" ht="12.75">
      <c r="A882" s="370" t="s">
        <v>1658</v>
      </c>
      <c r="B882" s="371">
        <v>200</v>
      </c>
      <c r="C882" s="369" t="s">
        <v>1141</v>
      </c>
      <c r="D882" s="385">
        <v>201985277.9</v>
      </c>
      <c r="E882" s="380">
        <v>201144797.38</v>
      </c>
      <c r="F882" s="386">
        <v>840480.52</v>
      </c>
      <c r="G882" s="71" t="str">
        <f t="shared" si="15"/>
        <v>244</v>
      </c>
    </row>
    <row r="883" spans="1:7" ht="12.75">
      <c r="A883" s="373" t="s">
        <v>243</v>
      </c>
      <c r="B883" s="374">
        <v>200</v>
      </c>
      <c r="C883" s="372" t="s">
        <v>1269</v>
      </c>
      <c r="D883" s="382">
        <v>24484958.3</v>
      </c>
      <c r="E883" s="383">
        <v>23446468.49</v>
      </c>
      <c r="F883" s="384">
        <v>1038489.81</v>
      </c>
      <c r="G883" s="71" t="str">
        <f t="shared" si="15"/>
        <v>000</v>
      </c>
    </row>
    <row r="884" spans="1:7" ht="12.75">
      <c r="A884" s="373" t="s">
        <v>1299</v>
      </c>
      <c r="B884" s="374">
        <v>200</v>
      </c>
      <c r="C884" s="372" t="s">
        <v>1270</v>
      </c>
      <c r="D884" s="382">
        <v>13787290.89</v>
      </c>
      <c r="E884" s="383">
        <v>12867407.47</v>
      </c>
      <c r="F884" s="384">
        <v>919883.42</v>
      </c>
      <c r="G884" s="71" t="str">
        <f t="shared" si="15"/>
        <v>000</v>
      </c>
    </row>
    <row r="885" spans="1:7" ht="33.75">
      <c r="A885" s="373" t="s">
        <v>36</v>
      </c>
      <c r="B885" s="374">
        <v>200</v>
      </c>
      <c r="C885" s="372" t="s">
        <v>1271</v>
      </c>
      <c r="D885" s="382">
        <v>12957327.92</v>
      </c>
      <c r="E885" s="383">
        <v>12037444.5</v>
      </c>
      <c r="F885" s="384">
        <v>919883.42</v>
      </c>
      <c r="G885" s="71" t="str">
        <f t="shared" si="15"/>
        <v>100</v>
      </c>
    </row>
    <row r="886" spans="1:7" ht="12.75">
      <c r="A886" s="373" t="s">
        <v>37</v>
      </c>
      <c r="B886" s="374">
        <v>200</v>
      </c>
      <c r="C886" s="372" t="s">
        <v>1272</v>
      </c>
      <c r="D886" s="382">
        <v>12957327.92</v>
      </c>
      <c r="E886" s="383">
        <v>12037444.5</v>
      </c>
      <c r="F886" s="384">
        <v>919883.42</v>
      </c>
      <c r="G886" s="71" t="str">
        <f t="shared" si="15"/>
        <v>120</v>
      </c>
    </row>
    <row r="887" spans="1:7" ht="12.75">
      <c r="A887" s="370" t="s">
        <v>1317</v>
      </c>
      <c r="B887" s="371">
        <v>200</v>
      </c>
      <c r="C887" s="369" t="s">
        <v>1273</v>
      </c>
      <c r="D887" s="385">
        <v>9309420.43</v>
      </c>
      <c r="E887" s="380">
        <v>8551968.32</v>
      </c>
      <c r="F887" s="386">
        <v>757452.11</v>
      </c>
      <c r="G887" s="71" t="str">
        <f t="shared" si="15"/>
        <v>121</v>
      </c>
    </row>
    <row r="888" spans="1:7" ht="22.5">
      <c r="A888" s="370" t="s">
        <v>244</v>
      </c>
      <c r="B888" s="371">
        <v>200</v>
      </c>
      <c r="C888" s="369" t="s">
        <v>1274</v>
      </c>
      <c r="D888" s="385">
        <v>891750.93</v>
      </c>
      <c r="E888" s="380">
        <v>891750.93</v>
      </c>
      <c r="F888" s="386">
        <v>0</v>
      </c>
      <c r="G888" s="71" t="str">
        <f t="shared" si="15"/>
        <v>122</v>
      </c>
    </row>
    <row r="889" spans="1:7" ht="33.75">
      <c r="A889" s="370" t="s">
        <v>1318</v>
      </c>
      <c r="B889" s="371">
        <v>200</v>
      </c>
      <c r="C889" s="369" t="s">
        <v>1275</v>
      </c>
      <c r="D889" s="385">
        <v>2756156.56</v>
      </c>
      <c r="E889" s="380">
        <v>2593725.25</v>
      </c>
      <c r="F889" s="386">
        <v>162431.31</v>
      </c>
      <c r="G889" s="71" t="str">
        <f t="shared" si="15"/>
        <v>129</v>
      </c>
    </row>
    <row r="890" spans="1:7" ht="22.5">
      <c r="A890" s="373" t="s">
        <v>411</v>
      </c>
      <c r="B890" s="374">
        <v>200</v>
      </c>
      <c r="C890" s="372" t="s">
        <v>1276</v>
      </c>
      <c r="D890" s="382">
        <v>829814.39</v>
      </c>
      <c r="E890" s="383">
        <v>829814.39</v>
      </c>
      <c r="F890" s="384">
        <v>0</v>
      </c>
      <c r="G890" s="71" t="str">
        <f t="shared" si="15"/>
        <v>200</v>
      </c>
    </row>
    <row r="891" spans="1:7" ht="22.5">
      <c r="A891" s="373" t="s">
        <v>38</v>
      </c>
      <c r="B891" s="374">
        <v>200</v>
      </c>
      <c r="C891" s="372" t="s">
        <v>1277</v>
      </c>
      <c r="D891" s="382">
        <v>829814.39</v>
      </c>
      <c r="E891" s="383">
        <v>829814.39</v>
      </c>
      <c r="F891" s="384">
        <v>0</v>
      </c>
      <c r="G891" s="71" t="str">
        <f t="shared" si="15"/>
        <v>240</v>
      </c>
    </row>
    <row r="892" spans="1:7" ht="12.75">
      <c r="A892" s="370" t="s">
        <v>1658</v>
      </c>
      <c r="B892" s="371">
        <v>200</v>
      </c>
      <c r="C892" s="369" t="s">
        <v>1278</v>
      </c>
      <c r="D892" s="385">
        <v>829814.39</v>
      </c>
      <c r="E892" s="380">
        <v>829814.39</v>
      </c>
      <c r="F892" s="386">
        <v>0</v>
      </c>
      <c r="G892" s="71" t="str">
        <f t="shared" si="15"/>
        <v>244</v>
      </c>
    </row>
    <row r="893" spans="1:7" ht="12.75">
      <c r="A893" s="373" t="s">
        <v>39</v>
      </c>
      <c r="B893" s="374">
        <v>200</v>
      </c>
      <c r="C893" s="372" t="s">
        <v>1279</v>
      </c>
      <c r="D893" s="382">
        <v>148.58</v>
      </c>
      <c r="E893" s="383">
        <v>148.58</v>
      </c>
      <c r="F893" s="384">
        <v>0</v>
      </c>
      <c r="G893" s="71" t="str">
        <f t="shared" si="15"/>
        <v>800</v>
      </c>
    </row>
    <row r="894" spans="1:7" ht="12.75">
      <c r="A894" s="373" t="s">
        <v>40</v>
      </c>
      <c r="B894" s="374">
        <v>200</v>
      </c>
      <c r="C894" s="372" t="s">
        <v>1280</v>
      </c>
      <c r="D894" s="382">
        <v>148.58</v>
      </c>
      <c r="E894" s="383">
        <v>148.58</v>
      </c>
      <c r="F894" s="384">
        <v>0</v>
      </c>
      <c r="G894" s="71" t="str">
        <f t="shared" si="15"/>
        <v>850</v>
      </c>
    </row>
    <row r="895" spans="1:7" ht="12.75">
      <c r="A895" s="370" t="s">
        <v>1375</v>
      </c>
      <c r="B895" s="371">
        <v>200</v>
      </c>
      <c r="C895" s="369" t="s">
        <v>1281</v>
      </c>
      <c r="D895" s="385">
        <v>148.58</v>
      </c>
      <c r="E895" s="380">
        <v>148.58</v>
      </c>
      <c r="F895" s="386">
        <v>0</v>
      </c>
      <c r="G895" s="71" t="str">
        <f t="shared" si="15"/>
        <v>853</v>
      </c>
    </row>
    <row r="896" spans="1:7" ht="45">
      <c r="A896" s="377" t="s">
        <v>1593</v>
      </c>
      <c r="B896" s="374">
        <v>200</v>
      </c>
      <c r="C896" s="372" t="s">
        <v>1282</v>
      </c>
      <c r="D896" s="382">
        <v>721820.5</v>
      </c>
      <c r="E896" s="383">
        <v>603214.11</v>
      </c>
      <c r="F896" s="384">
        <v>118606.39</v>
      </c>
      <c r="G896" s="71" t="str">
        <f t="shared" si="15"/>
        <v>000</v>
      </c>
    </row>
    <row r="897" spans="1:7" ht="33.75">
      <c r="A897" s="373" t="s">
        <v>36</v>
      </c>
      <c r="B897" s="374">
        <v>200</v>
      </c>
      <c r="C897" s="372" t="s">
        <v>1283</v>
      </c>
      <c r="D897" s="382">
        <v>721820.5</v>
      </c>
      <c r="E897" s="383">
        <v>603214.11</v>
      </c>
      <c r="F897" s="384">
        <v>118606.39</v>
      </c>
      <c r="G897" s="71" t="str">
        <f t="shared" si="15"/>
        <v>100</v>
      </c>
    </row>
    <row r="898" spans="1:7" ht="12.75">
      <c r="A898" s="373" t="s">
        <v>37</v>
      </c>
      <c r="B898" s="374">
        <v>200</v>
      </c>
      <c r="C898" s="372" t="s">
        <v>1284</v>
      </c>
      <c r="D898" s="382">
        <v>721820.5</v>
      </c>
      <c r="E898" s="383">
        <v>603214.11</v>
      </c>
      <c r="F898" s="384">
        <v>118606.39</v>
      </c>
      <c r="G898" s="71" t="str">
        <f t="shared" si="15"/>
        <v>120</v>
      </c>
    </row>
    <row r="899" spans="1:7" ht="12.75">
      <c r="A899" s="370" t="s">
        <v>1317</v>
      </c>
      <c r="B899" s="371">
        <v>200</v>
      </c>
      <c r="C899" s="369" t="s">
        <v>1285</v>
      </c>
      <c r="D899" s="385">
        <v>554657.07</v>
      </c>
      <c r="E899" s="380">
        <v>446532.65</v>
      </c>
      <c r="F899" s="386">
        <v>108124.42</v>
      </c>
      <c r="G899" s="71" t="str">
        <f t="shared" si="15"/>
        <v>121</v>
      </c>
    </row>
    <row r="900" spans="1:7" ht="33.75">
      <c r="A900" s="370" t="s">
        <v>1318</v>
      </c>
      <c r="B900" s="371">
        <v>200</v>
      </c>
      <c r="C900" s="369" t="s">
        <v>498</v>
      </c>
      <c r="D900" s="385">
        <v>167163.43</v>
      </c>
      <c r="E900" s="380">
        <v>156681.46</v>
      </c>
      <c r="F900" s="386">
        <v>10481.97</v>
      </c>
      <c r="G900" s="71" t="str">
        <f t="shared" si="15"/>
        <v>129</v>
      </c>
    </row>
    <row r="901" spans="1:7" ht="12.75">
      <c r="A901" s="373" t="s">
        <v>62</v>
      </c>
      <c r="B901" s="374">
        <v>200</v>
      </c>
      <c r="C901" s="372" t="s">
        <v>1994</v>
      </c>
      <c r="D901" s="382">
        <v>8833313.92</v>
      </c>
      <c r="E901" s="383">
        <v>8833313.92</v>
      </c>
      <c r="F901" s="384">
        <v>0</v>
      </c>
      <c r="G901" s="71" t="str">
        <f t="shared" si="15"/>
        <v>000</v>
      </c>
    </row>
    <row r="902" spans="1:7" ht="22.5">
      <c r="A902" s="373" t="s">
        <v>411</v>
      </c>
      <c r="B902" s="374">
        <v>200</v>
      </c>
      <c r="C902" s="372" t="s">
        <v>1995</v>
      </c>
      <c r="D902" s="382">
        <v>8833313.92</v>
      </c>
      <c r="E902" s="383">
        <v>8833313.92</v>
      </c>
      <c r="F902" s="384">
        <v>0</v>
      </c>
      <c r="G902" s="71" t="str">
        <f t="shared" si="15"/>
        <v>200</v>
      </c>
    </row>
    <row r="903" spans="1:7" ht="22.5">
      <c r="A903" s="373" t="s">
        <v>38</v>
      </c>
      <c r="B903" s="374">
        <v>200</v>
      </c>
      <c r="C903" s="372" t="s">
        <v>1996</v>
      </c>
      <c r="D903" s="382">
        <v>8833313.92</v>
      </c>
      <c r="E903" s="383">
        <v>8833313.92</v>
      </c>
      <c r="F903" s="384">
        <v>0</v>
      </c>
      <c r="G903" s="71" t="str">
        <f t="shared" si="15"/>
        <v>240</v>
      </c>
    </row>
    <row r="904" spans="1:7" ht="12.75">
      <c r="A904" s="370" t="s">
        <v>1658</v>
      </c>
      <c r="B904" s="371">
        <v>200</v>
      </c>
      <c r="C904" s="369" t="s">
        <v>1997</v>
      </c>
      <c r="D904" s="385">
        <v>8833313.92</v>
      </c>
      <c r="E904" s="380">
        <v>8833313.92</v>
      </c>
      <c r="F904" s="386">
        <v>0</v>
      </c>
      <c r="G904" s="71" t="str">
        <f t="shared" si="15"/>
        <v>244</v>
      </c>
    </row>
    <row r="905" spans="1:7" ht="33.75">
      <c r="A905" s="373" t="s">
        <v>2254</v>
      </c>
      <c r="B905" s="374">
        <v>200</v>
      </c>
      <c r="C905" s="372" t="s">
        <v>2316</v>
      </c>
      <c r="D905" s="382">
        <v>663451.99</v>
      </c>
      <c r="E905" s="383">
        <v>663451.99</v>
      </c>
      <c r="F905" s="384">
        <v>0</v>
      </c>
      <c r="G905" s="71" t="str">
        <f t="shared" si="15"/>
        <v>000</v>
      </c>
    </row>
    <row r="906" spans="1:7" ht="33.75">
      <c r="A906" s="373" t="s">
        <v>36</v>
      </c>
      <c r="B906" s="374">
        <v>200</v>
      </c>
      <c r="C906" s="372" t="s">
        <v>2317</v>
      </c>
      <c r="D906" s="382">
        <v>663451.99</v>
      </c>
      <c r="E906" s="383">
        <v>663451.99</v>
      </c>
      <c r="F906" s="384">
        <v>0</v>
      </c>
      <c r="G906" s="71" t="str">
        <f t="shared" si="15"/>
        <v>100</v>
      </c>
    </row>
    <row r="907" spans="1:7" ht="12.75">
      <c r="A907" s="373" t="s">
        <v>37</v>
      </c>
      <c r="B907" s="374">
        <v>200</v>
      </c>
      <c r="C907" s="372" t="s">
        <v>2318</v>
      </c>
      <c r="D907" s="382">
        <v>663451.99</v>
      </c>
      <c r="E907" s="383">
        <v>663451.99</v>
      </c>
      <c r="F907" s="384">
        <v>0</v>
      </c>
      <c r="G907" s="71" t="str">
        <f t="shared" si="15"/>
        <v>120</v>
      </c>
    </row>
    <row r="908" spans="1:7" ht="12.75">
      <c r="A908" s="370" t="s">
        <v>1317</v>
      </c>
      <c r="B908" s="371">
        <v>200</v>
      </c>
      <c r="C908" s="369" t="s">
        <v>2319</v>
      </c>
      <c r="D908" s="385">
        <v>556495.34</v>
      </c>
      <c r="E908" s="380">
        <v>556495.34</v>
      </c>
      <c r="F908" s="386">
        <v>0</v>
      </c>
      <c r="G908" s="71" t="str">
        <f t="shared" si="15"/>
        <v>121</v>
      </c>
    </row>
    <row r="909" spans="1:7" ht="33.75">
      <c r="A909" s="370" t="s">
        <v>1318</v>
      </c>
      <c r="B909" s="371">
        <v>200</v>
      </c>
      <c r="C909" s="369" t="s">
        <v>2320</v>
      </c>
      <c r="D909" s="385">
        <v>106956.65</v>
      </c>
      <c r="E909" s="380">
        <v>106956.65</v>
      </c>
      <c r="F909" s="386">
        <v>0</v>
      </c>
      <c r="G909" s="71" t="str">
        <f t="shared" si="15"/>
        <v>129</v>
      </c>
    </row>
    <row r="910" spans="1:7" ht="22.5">
      <c r="A910" s="373" t="s">
        <v>1811</v>
      </c>
      <c r="B910" s="374">
        <v>200</v>
      </c>
      <c r="C910" s="372" t="s">
        <v>1890</v>
      </c>
      <c r="D910" s="382">
        <v>479081</v>
      </c>
      <c r="E910" s="383">
        <v>479081</v>
      </c>
      <c r="F910" s="384">
        <v>0</v>
      </c>
      <c r="G910" s="71" t="str">
        <f t="shared" si="15"/>
        <v>000</v>
      </c>
    </row>
    <row r="911" spans="1:7" ht="33.75">
      <c r="A911" s="373" t="s">
        <v>36</v>
      </c>
      <c r="B911" s="374">
        <v>200</v>
      </c>
      <c r="C911" s="372" t="s">
        <v>1891</v>
      </c>
      <c r="D911" s="382">
        <v>479081</v>
      </c>
      <c r="E911" s="383">
        <v>479081</v>
      </c>
      <c r="F911" s="384">
        <v>0</v>
      </c>
      <c r="G911" s="71" t="str">
        <f t="shared" si="15"/>
        <v>100</v>
      </c>
    </row>
    <row r="912" spans="1:7" ht="12.75">
      <c r="A912" s="373" t="s">
        <v>37</v>
      </c>
      <c r="B912" s="374">
        <v>200</v>
      </c>
      <c r="C912" s="372" t="s">
        <v>1892</v>
      </c>
      <c r="D912" s="382">
        <v>479081</v>
      </c>
      <c r="E912" s="383">
        <v>479081</v>
      </c>
      <c r="F912" s="384">
        <v>0</v>
      </c>
      <c r="G912" s="71" t="str">
        <f t="shared" si="15"/>
        <v>120</v>
      </c>
    </row>
    <row r="913" spans="1:7" ht="12.75">
      <c r="A913" s="370" t="s">
        <v>1317</v>
      </c>
      <c r="B913" s="371">
        <v>200</v>
      </c>
      <c r="C913" s="369" t="s">
        <v>1893</v>
      </c>
      <c r="D913" s="385">
        <v>367958</v>
      </c>
      <c r="E913" s="380">
        <v>367958</v>
      </c>
      <c r="F913" s="386">
        <v>0</v>
      </c>
      <c r="G913" s="71" t="str">
        <f t="shared" si="15"/>
        <v>121</v>
      </c>
    </row>
    <row r="914" spans="1:7" ht="33.75">
      <c r="A914" s="370" t="s">
        <v>1318</v>
      </c>
      <c r="B914" s="371">
        <v>200</v>
      </c>
      <c r="C914" s="369" t="s">
        <v>1894</v>
      </c>
      <c r="D914" s="385">
        <v>111123</v>
      </c>
      <c r="E914" s="380">
        <v>111123</v>
      </c>
      <c r="F914" s="386">
        <v>0</v>
      </c>
      <c r="G914" s="71" t="str">
        <f t="shared" si="15"/>
        <v>129</v>
      </c>
    </row>
    <row r="915" spans="1:7" ht="12.75">
      <c r="A915" s="373" t="s">
        <v>669</v>
      </c>
      <c r="B915" s="374">
        <v>200</v>
      </c>
      <c r="C915" s="372" t="s">
        <v>1142</v>
      </c>
      <c r="D915" s="382">
        <v>61147113.23</v>
      </c>
      <c r="E915" s="383">
        <v>48397724.89</v>
      </c>
      <c r="F915" s="384">
        <v>12749388.34</v>
      </c>
      <c r="G915" s="71" t="str">
        <f t="shared" si="15"/>
        <v>000</v>
      </c>
    </row>
    <row r="916" spans="1:7" ht="12.75">
      <c r="A916" s="373" t="s">
        <v>604</v>
      </c>
      <c r="B916" s="374">
        <v>200</v>
      </c>
      <c r="C916" s="372" t="s">
        <v>1143</v>
      </c>
      <c r="D916" s="382">
        <v>61147113.23</v>
      </c>
      <c r="E916" s="383">
        <v>48397724.89</v>
      </c>
      <c r="F916" s="384">
        <v>12749388.34</v>
      </c>
      <c r="G916" s="71" t="str">
        <f t="shared" si="15"/>
        <v>000</v>
      </c>
    </row>
    <row r="917" spans="1:7" ht="33.75">
      <c r="A917" s="373" t="s">
        <v>1</v>
      </c>
      <c r="B917" s="374">
        <v>200</v>
      </c>
      <c r="C917" s="372" t="s">
        <v>1144</v>
      </c>
      <c r="D917" s="382">
        <v>2087800</v>
      </c>
      <c r="E917" s="383">
        <v>2070939.5</v>
      </c>
      <c r="F917" s="384">
        <v>16860.5</v>
      </c>
      <c r="G917" s="71" t="str">
        <f t="shared" si="15"/>
        <v>000</v>
      </c>
    </row>
    <row r="918" spans="1:7" ht="33.75">
      <c r="A918" s="373" t="s">
        <v>499</v>
      </c>
      <c r="B918" s="374">
        <v>200</v>
      </c>
      <c r="C918" s="372" t="s">
        <v>1145</v>
      </c>
      <c r="D918" s="382">
        <v>162351</v>
      </c>
      <c r="E918" s="383">
        <v>162351</v>
      </c>
      <c r="F918" s="384">
        <v>0</v>
      </c>
      <c r="G918" s="71" t="str">
        <f t="shared" si="15"/>
        <v>000</v>
      </c>
    </row>
    <row r="919" spans="1:7" ht="12.75">
      <c r="A919" s="373" t="s">
        <v>39</v>
      </c>
      <c r="B919" s="374">
        <v>200</v>
      </c>
      <c r="C919" s="372" t="s">
        <v>1146</v>
      </c>
      <c r="D919" s="382">
        <v>162351</v>
      </c>
      <c r="E919" s="383">
        <v>162351</v>
      </c>
      <c r="F919" s="384">
        <v>0</v>
      </c>
      <c r="G919" s="71" t="str">
        <f t="shared" si="15"/>
        <v>800</v>
      </c>
    </row>
    <row r="920" spans="1:7" ht="33.75">
      <c r="A920" s="373" t="s">
        <v>1046</v>
      </c>
      <c r="B920" s="374">
        <v>200</v>
      </c>
      <c r="C920" s="372" t="s">
        <v>1147</v>
      </c>
      <c r="D920" s="382">
        <v>162351</v>
      </c>
      <c r="E920" s="383">
        <v>162351</v>
      </c>
      <c r="F920" s="384">
        <v>0</v>
      </c>
      <c r="G920" s="71" t="str">
        <f t="shared" si="15"/>
        <v>810</v>
      </c>
    </row>
    <row r="921" spans="1:7" ht="33.75">
      <c r="A921" s="370" t="s">
        <v>2093</v>
      </c>
      <c r="B921" s="371">
        <v>200</v>
      </c>
      <c r="C921" s="369" t="s">
        <v>2194</v>
      </c>
      <c r="D921" s="385">
        <v>162351</v>
      </c>
      <c r="E921" s="380">
        <v>162351</v>
      </c>
      <c r="F921" s="386">
        <v>0</v>
      </c>
      <c r="G921" s="71" t="str">
        <f t="shared" si="15"/>
        <v>811</v>
      </c>
    </row>
    <row r="922" spans="1:7" ht="45">
      <c r="A922" s="373" t="s">
        <v>99</v>
      </c>
      <c r="B922" s="374">
        <v>200</v>
      </c>
      <c r="C922" s="372" t="s">
        <v>1148</v>
      </c>
      <c r="D922" s="382">
        <v>100000</v>
      </c>
      <c r="E922" s="383">
        <v>100000</v>
      </c>
      <c r="F922" s="384">
        <v>0</v>
      </c>
      <c r="G922" s="71" t="str">
        <f t="shared" si="15"/>
        <v>000</v>
      </c>
    </row>
    <row r="923" spans="1:7" ht="12.75">
      <c r="A923" s="373" t="s">
        <v>39</v>
      </c>
      <c r="B923" s="374">
        <v>200</v>
      </c>
      <c r="C923" s="372" t="s">
        <v>1009</v>
      </c>
      <c r="D923" s="382">
        <v>100000</v>
      </c>
      <c r="E923" s="383">
        <v>100000</v>
      </c>
      <c r="F923" s="384">
        <v>0</v>
      </c>
      <c r="G923" s="71" t="str">
        <f t="shared" si="15"/>
        <v>800</v>
      </c>
    </row>
    <row r="924" spans="1:7" ht="33.75">
      <c r="A924" s="373" t="s">
        <v>1046</v>
      </c>
      <c r="B924" s="374">
        <v>200</v>
      </c>
      <c r="C924" s="372" t="s">
        <v>1010</v>
      </c>
      <c r="D924" s="382">
        <v>100000</v>
      </c>
      <c r="E924" s="383">
        <v>100000</v>
      </c>
      <c r="F924" s="384">
        <v>0</v>
      </c>
      <c r="G924" s="71" t="str">
        <f t="shared" si="15"/>
        <v>810</v>
      </c>
    </row>
    <row r="925" spans="1:7" ht="33.75">
      <c r="A925" s="370" t="s">
        <v>2093</v>
      </c>
      <c r="B925" s="371">
        <v>200</v>
      </c>
      <c r="C925" s="369" t="s">
        <v>2195</v>
      </c>
      <c r="D925" s="385">
        <v>100000</v>
      </c>
      <c r="E925" s="380">
        <v>100000</v>
      </c>
      <c r="F925" s="386">
        <v>0</v>
      </c>
      <c r="G925" s="71" t="str">
        <f t="shared" si="15"/>
        <v>811</v>
      </c>
    </row>
    <row r="926" spans="1:7" ht="56.25">
      <c r="A926" s="377" t="s">
        <v>1610</v>
      </c>
      <c r="B926" s="374">
        <v>200</v>
      </c>
      <c r="C926" s="372" t="s">
        <v>1011</v>
      </c>
      <c r="D926" s="382">
        <v>100000</v>
      </c>
      <c r="E926" s="383">
        <v>100000</v>
      </c>
      <c r="F926" s="384">
        <v>0</v>
      </c>
      <c r="G926" s="71" t="str">
        <f t="shared" si="15"/>
        <v>000</v>
      </c>
    </row>
    <row r="927" spans="1:7" ht="12.75">
      <c r="A927" s="373" t="s">
        <v>39</v>
      </c>
      <c r="B927" s="374">
        <v>200</v>
      </c>
      <c r="C927" s="372" t="s">
        <v>1012</v>
      </c>
      <c r="D927" s="382">
        <v>100000</v>
      </c>
      <c r="E927" s="383">
        <v>100000</v>
      </c>
      <c r="F927" s="384">
        <v>0</v>
      </c>
      <c r="G927" s="71" t="str">
        <f t="shared" si="15"/>
        <v>800</v>
      </c>
    </row>
    <row r="928" spans="1:7" ht="33.75">
      <c r="A928" s="373" t="s">
        <v>1046</v>
      </c>
      <c r="B928" s="374">
        <v>200</v>
      </c>
      <c r="C928" s="372" t="s">
        <v>1013</v>
      </c>
      <c r="D928" s="382">
        <v>100000</v>
      </c>
      <c r="E928" s="383">
        <v>100000</v>
      </c>
      <c r="F928" s="384">
        <v>0</v>
      </c>
      <c r="G928" s="71" t="str">
        <f t="shared" si="15"/>
        <v>810</v>
      </c>
    </row>
    <row r="929" spans="1:7" ht="33.75">
      <c r="A929" s="370" t="s">
        <v>2093</v>
      </c>
      <c r="B929" s="371">
        <v>200</v>
      </c>
      <c r="C929" s="369" t="s">
        <v>2196</v>
      </c>
      <c r="D929" s="385">
        <v>100000</v>
      </c>
      <c r="E929" s="380">
        <v>100000</v>
      </c>
      <c r="F929" s="386">
        <v>0</v>
      </c>
      <c r="G929" s="71" t="str">
        <f t="shared" si="15"/>
        <v>811</v>
      </c>
    </row>
    <row r="930" spans="1:7" ht="45">
      <c r="A930" s="373" t="s">
        <v>1998</v>
      </c>
      <c r="B930" s="374">
        <v>200</v>
      </c>
      <c r="C930" s="372" t="s">
        <v>1751</v>
      </c>
      <c r="D930" s="382">
        <v>50000</v>
      </c>
      <c r="E930" s="383">
        <v>50000</v>
      </c>
      <c r="F930" s="384">
        <v>0</v>
      </c>
      <c r="G930" s="71" t="str">
        <f t="shared" si="15"/>
        <v>000</v>
      </c>
    </row>
    <row r="931" spans="1:7" ht="12.75">
      <c r="A931" s="373" t="s">
        <v>39</v>
      </c>
      <c r="B931" s="374">
        <v>200</v>
      </c>
      <c r="C931" s="372" t="s">
        <v>1752</v>
      </c>
      <c r="D931" s="382">
        <v>50000</v>
      </c>
      <c r="E931" s="383">
        <v>50000</v>
      </c>
      <c r="F931" s="384">
        <v>0</v>
      </c>
      <c r="G931" s="71" t="str">
        <f t="shared" si="15"/>
        <v>800</v>
      </c>
    </row>
    <row r="932" spans="1:7" ht="33.75">
      <c r="A932" s="373" t="s">
        <v>1046</v>
      </c>
      <c r="B932" s="374">
        <v>200</v>
      </c>
      <c r="C932" s="372" t="s">
        <v>1753</v>
      </c>
      <c r="D932" s="382">
        <v>50000</v>
      </c>
      <c r="E932" s="383">
        <v>50000</v>
      </c>
      <c r="F932" s="384">
        <v>0</v>
      </c>
      <c r="G932" s="71" t="str">
        <f t="shared" si="15"/>
        <v>810</v>
      </c>
    </row>
    <row r="933" spans="1:7" ht="33.75">
      <c r="A933" s="370" t="s">
        <v>2093</v>
      </c>
      <c r="B933" s="371">
        <v>200</v>
      </c>
      <c r="C933" s="369" t="s">
        <v>2197</v>
      </c>
      <c r="D933" s="385">
        <v>50000</v>
      </c>
      <c r="E933" s="380">
        <v>50000</v>
      </c>
      <c r="F933" s="386">
        <v>0</v>
      </c>
      <c r="G933" s="71" t="str">
        <f t="shared" si="15"/>
        <v>811</v>
      </c>
    </row>
    <row r="934" spans="1:7" ht="22.5">
      <c r="A934" s="373" t="s">
        <v>1065</v>
      </c>
      <c r="B934" s="374">
        <v>200</v>
      </c>
      <c r="C934" s="372" t="s">
        <v>1014</v>
      </c>
      <c r="D934" s="382">
        <v>93649</v>
      </c>
      <c r="E934" s="383">
        <v>93649</v>
      </c>
      <c r="F934" s="384">
        <v>0</v>
      </c>
      <c r="G934" s="71" t="str">
        <f t="shared" si="15"/>
        <v>000</v>
      </c>
    </row>
    <row r="935" spans="1:7" ht="22.5">
      <c r="A935" s="373" t="s">
        <v>411</v>
      </c>
      <c r="B935" s="374">
        <v>200</v>
      </c>
      <c r="C935" s="372" t="s">
        <v>1015</v>
      </c>
      <c r="D935" s="382">
        <v>93649</v>
      </c>
      <c r="E935" s="383">
        <v>93649</v>
      </c>
      <c r="F935" s="384">
        <v>0</v>
      </c>
      <c r="G935" s="71" t="str">
        <f t="shared" si="15"/>
        <v>200</v>
      </c>
    </row>
    <row r="936" spans="1:7" ht="22.5">
      <c r="A936" s="373" t="s">
        <v>38</v>
      </c>
      <c r="B936" s="374">
        <v>200</v>
      </c>
      <c r="C936" s="372" t="s">
        <v>1016</v>
      </c>
      <c r="D936" s="382">
        <v>93649</v>
      </c>
      <c r="E936" s="383">
        <v>93649</v>
      </c>
      <c r="F936" s="384">
        <v>0</v>
      </c>
      <c r="G936" s="71" t="str">
        <f t="shared" si="15"/>
        <v>240</v>
      </c>
    </row>
    <row r="937" spans="1:7" ht="12.75">
      <c r="A937" s="370" t="s">
        <v>1658</v>
      </c>
      <c r="B937" s="371">
        <v>200</v>
      </c>
      <c r="C937" s="369" t="s">
        <v>1017</v>
      </c>
      <c r="D937" s="385">
        <v>93649</v>
      </c>
      <c r="E937" s="380">
        <v>93649</v>
      </c>
      <c r="F937" s="386">
        <v>0</v>
      </c>
      <c r="G937" s="71" t="str">
        <f t="shared" si="15"/>
        <v>244</v>
      </c>
    </row>
    <row r="938" spans="1:7" ht="22.5">
      <c r="A938" s="373" t="s">
        <v>2198</v>
      </c>
      <c r="B938" s="374">
        <v>200</v>
      </c>
      <c r="C938" s="372" t="s">
        <v>2226</v>
      </c>
      <c r="D938" s="382">
        <v>1581800</v>
      </c>
      <c r="E938" s="383">
        <v>1564939.5</v>
      </c>
      <c r="F938" s="384">
        <v>16860.5</v>
      </c>
      <c r="G938" s="71" t="str">
        <f t="shared" si="15"/>
        <v>000</v>
      </c>
    </row>
    <row r="939" spans="1:7" ht="12.75">
      <c r="A939" s="373" t="s">
        <v>39</v>
      </c>
      <c r="B939" s="374">
        <v>200</v>
      </c>
      <c r="C939" s="372" t="s">
        <v>2227</v>
      </c>
      <c r="D939" s="382">
        <v>1581800</v>
      </c>
      <c r="E939" s="383">
        <v>1564939.5</v>
      </c>
      <c r="F939" s="384">
        <v>16860.5</v>
      </c>
      <c r="G939" s="71" t="str">
        <f aca="true" t="shared" si="16" ref="G939:G995">RIGHT(C939,3)</f>
        <v>800</v>
      </c>
    </row>
    <row r="940" spans="1:7" ht="33.75">
      <c r="A940" s="373" t="s">
        <v>1046</v>
      </c>
      <c r="B940" s="374">
        <v>200</v>
      </c>
      <c r="C940" s="372" t="s">
        <v>2228</v>
      </c>
      <c r="D940" s="382">
        <v>1581800</v>
      </c>
      <c r="E940" s="383">
        <v>1564939.5</v>
      </c>
      <c r="F940" s="384">
        <v>16860.5</v>
      </c>
      <c r="G940" s="71" t="str">
        <f t="shared" si="16"/>
        <v>810</v>
      </c>
    </row>
    <row r="941" spans="1:7" ht="33.75">
      <c r="A941" s="370" t="s">
        <v>2093</v>
      </c>
      <c r="B941" s="371">
        <v>200</v>
      </c>
      <c r="C941" s="369" t="s">
        <v>2229</v>
      </c>
      <c r="D941" s="385">
        <v>1581800</v>
      </c>
      <c r="E941" s="380">
        <v>1564939.5</v>
      </c>
      <c r="F941" s="386">
        <v>16860.5</v>
      </c>
      <c r="G941" s="71" t="str">
        <f t="shared" si="16"/>
        <v>811</v>
      </c>
    </row>
    <row r="942" spans="1:7" ht="12.75">
      <c r="A942" s="373" t="s">
        <v>243</v>
      </c>
      <c r="B942" s="374">
        <v>200</v>
      </c>
      <c r="C942" s="372" t="s">
        <v>1018</v>
      </c>
      <c r="D942" s="382">
        <v>59059313.23</v>
      </c>
      <c r="E942" s="383">
        <v>46326785.39</v>
      </c>
      <c r="F942" s="384">
        <v>12732527.84</v>
      </c>
      <c r="G942" s="71" t="str">
        <f t="shared" si="16"/>
        <v>000</v>
      </c>
    </row>
    <row r="943" spans="1:7" ht="90">
      <c r="A943" s="377" t="s">
        <v>1611</v>
      </c>
      <c r="B943" s="374">
        <v>200</v>
      </c>
      <c r="C943" s="372" t="s">
        <v>1019</v>
      </c>
      <c r="D943" s="382">
        <v>59059313.23</v>
      </c>
      <c r="E943" s="383">
        <v>46326785.39</v>
      </c>
      <c r="F943" s="384">
        <v>12732527.84</v>
      </c>
      <c r="G943" s="71" t="str">
        <f t="shared" si="16"/>
        <v>000</v>
      </c>
    </row>
    <row r="944" spans="1:7" ht="12.75">
      <c r="A944" s="373" t="s">
        <v>39</v>
      </c>
      <c r="B944" s="374">
        <v>200</v>
      </c>
      <c r="C944" s="372" t="s">
        <v>337</v>
      </c>
      <c r="D944" s="382">
        <v>59059313.23</v>
      </c>
      <c r="E944" s="383">
        <v>46326785.39</v>
      </c>
      <c r="F944" s="384">
        <v>12732527.84</v>
      </c>
      <c r="G944" s="71" t="str">
        <f t="shared" si="16"/>
        <v>800</v>
      </c>
    </row>
    <row r="945" spans="1:7" ht="33.75">
      <c r="A945" s="373" t="s">
        <v>1046</v>
      </c>
      <c r="B945" s="374">
        <v>200</v>
      </c>
      <c r="C945" s="372" t="s">
        <v>338</v>
      </c>
      <c r="D945" s="382">
        <v>59059313.23</v>
      </c>
      <c r="E945" s="383">
        <v>46326785.39</v>
      </c>
      <c r="F945" s="384">
        <v>12732527.84</v>
      </c>
      <c r="G945" s="71" t="str">
        <f t="shared" si="16"/>
        <v>810</v>
      </c>
    </row>
    <row r="946" spans="1:7" ht="33.75">
      <c r="A946" s="370" t="s">
        <v>2093</v>
      </c>
      <c r="B946" s="371">
        <v>200</v>
      </c>
      <c r="C946" s="369" t="s">
        <v>2199</v>
      </c>
      <c r="D946" s="385">
        <v>59059313.23</v>
      </c>
      <c r="E946" s="380">
        <v>46326785.39</v>
      </c>
      <c r="F946" s="386">
        <v>12732527.84</v>
      </c>
      <c r="G946" s="71" t="str">
        <f t="shared" si="16"/>
        <v>811</v>
      </c>
    </row>
    <row r="947" spans="1:7" ht="12.75">
      <c r="A947" s="373" t="s">
        <v>1362</v>
      </c>
      <c r="B947" s="374">
        <v>200</v>
      </c>
      <c r="C947" s="372" t="s">
        <v>339</v>
      </c>
      <c r="D947" s="382">
        <v>589203700</v>
      </c>
      <c r="E947" s="383">
        <v>588266703.15</v>
      </c>
      <c r="F947" s="384">
        <v>936996.85</v>
      </c>
      <c r="G947" s="71" t="str">
        <f t="shared" si="16"/>
        <v>000</v>
      </c>
    </row>
    <row r="948" spans="1:7" ht="12.75">
      <c r="A948" s="373" t="s">
        <v>601</v>
      </c>
      <c r="B948" s="374">
        <v>200</v>
      </c>
      <c r="C948" s="372" t="s">
        <v>340</v>
      </c>
      <c r="D948" s="382">
        <v>589203700</v>
      </c>
      <c r="E948" s="383">
        <v>588266703.15</v>
      </c>
      <c r="F948" s="384">
        <v>936996.85</v>
      </c>
      <c r="G948" s="71" t="str">
        <f t="shared" si="16"/>
        <v>000</v>
      </c>
    </row>
    <row r="949" spans="1:7" ht="56.25">
      <c r="A949" s="377" t="s">
        <v>1604</v>
      </c>
      <c r="B949" s="374">
        <v>200</v>
      </c>
      <c r="C949" s="372" t="s">
        <v>341</v>
      </c>
      <c r="D949" s="382">
        <v>571644800</v>
      </c>
      <c r="E949" s="383">
        <v>571644754.1</v>
      </c>
      <c r="F949" s="384">
        <v>45.9</v>
      </c>
      <c r="G949" s="71" t="str">
        <f t="shared" si="16"/>
        <v>000</v>
      </c>
    </row>
    <row r="950" spans="1:7" ht="78.75">
      <c r="A950" s="377" t="s">
        <v>1608</v>
      </c>
      <c r="B950" s="374">
        <v>200</v>
      </c>
      <c r="C950" s="372" t="s">
        <v>342</v>
      </c>
      <c r="D950" s="382">
        <v>571644800</v>
      </c>
      <c r="E950" s="383">
        <v>571644754.1</v>
      </c>
      <c r="F950" s="384">
        <v>45.9</v>
      </c>
      <c r="G950" s="71" t="str">
        <f t="shared" si="16"/>
        <v>000</v>
      </c>
    </row>
    <row r="951" spans="1:7" ht="90">
      <c r="A951" s="377" t="s">
        <v>2230</v>
      </c>
      <c r="B951" s="374">
        <v>200</v>
      </c>
      <c r="C951" s="372" t="s">
        <v>343</v>
      </c>
      <c r="D951" s="382">
        <v>571644800</v>
      </c>
      <c r="E951" s="383">
        <v>571644754.1</v>
      </c>
      <c r="F951" s="384">
        <v>45.9</v>
      </c>
      <c r="G951" s="71" t="str">
        <f t="shared" si="16"/>
        <v>000</v>
      </c>
    </row>
    <row r="952" spans="1:7" ht="22.5">
      <c r="A952" s="373" t="s">
        <v>411</v>
      </c>
      <c r="B952" s="374">
        <v>200</v>
      </c>
      <c r="C952" s="372" t="s">
        <v>344</v>
      </c>
      <c r="D952" s="382">
        <v>571644800</v>
      </c>
      <c r="E952" s="383">
        <v>571644754.1</v>
      </c>
      <c r="F952" s="384">
        <v>45.9</v>
      </c>
      <c r="G952" s="71" t="str">
        <f t="shared" si="16"/>
        <v>200</v>
      </c>
    </row>
    <row r="953" spans="1:7" ht="22.5">
      <c r="A953" s="373" t="s">
        <v>38</v>
      </c>
      <c r="B953" s="374">
        <v>200</v>
      </c>
      <c r="C953" s="372" t="s">
        <v>345</v>
      </c>
      <c r="D953" s="382">
        <v>571644800</v>
      </c>
      <c r="E953" s="383">
        <v>571644754.1</v>
      </c>
      <c r="F953" s="384">
        <v>45.9</v>
      </c>
      <c r="G953" s="71" t="str">
        <f t="shared" si="16"/>
        <v>240</v>
      </c>
    </row>
    <row r="954" spans="1:7" ht="12.75">
      <c r="A954" s="370" t="s">
        <v>1658</v>
      </c>
      <c r="B954" s="371">
        <v>200</v>
      </c>
      <c r="C954" s="369" t="s">
        <v>1589</v>
      </c>
      <c r="D954" s="385">
        <v>571644800</v>
      </c>
      <c r="E954" s="380">
        <v>571644754.1</v>
      </c>
      <c r="F954" s="386">
        <v>45.9</v>
      </c>
      <c r="G954" s="71" t="str">
        <f t="shared" si="16"/>
        <v>244</v>
      </c>
    </row>
    <row r="955" spans="1:7" ht="45">
      <c r="A955" s="377" t="s">
        <v>1597</v>
      </c>
      <c r="B955" s="374">
        <v>200</v>
      </c>
      <c r="C955" s="372" t="s">
        <v>346</v>
      </c>
      <c r="D955" s="382">
        <v>17558900</v>
      </c>
      <c r="E955" s="383">
        <v>16621949.05</v>
      </c>
      <c r="F955" s="384">
        <v>936950.95</v>
      </c>
      <c r="G955" s="71" t="str">
        <f t="shared" si="16"/>
        <v>000</v>
      </c>
    </row>
    <row r="956" spans="1:7" ht="78.75">
      <c r="A956" s="377" t="s">
        <v>1754</v>
      </c>
      <c r="B956" s="374">
        <v>200</v>
      </c>
      <c r="C956" s="372" t="s">
        <v>347</v>
      </c>
      <c r="D956" s="382">
        <v>4666500</v>
      </c>
      <c r="E956" s="383">
        <v>3784949.85</v>
      </c>
      <c r="F956" s="384">
        <v>881550.15</v>
      </c>
      <c r="G956" s="71" t="str">
        <f t="shared" si="16"/>
        <v>000</v>
      </c>
    </row>
    <row r="957" spans="1:7" ht="22.5">
      <c r="A957" s="373" t="s">
        <v>411</v>
      </c>
      <c r="B957" s="374">
        <v>200</v>
      </c>
      <c r="C957" s="372" t="s">
        <v>348</v>
      </c>
      <c r="D957" s="382">
        <v>4666500</v>
      </c>
      <c r="E957" s="383">
        <v>3784949.85</v>
      </c>
      <c r="F957" s="384">
        <v>881550.15</v>
      </c>
      <c r="G957" s="71" t="str">
        <f t="shared" si="16"/>
        <v>200</v>
      </c>
    </row>
    <row r="958" spans="1:7" ht="22.5">
      <c r="A958" s="373" t="s">
        <v>38</v>
      </c>
      <c r="B958" s="374">
        <v>200</v>
      </c>
      <c r="C958" s="372" t="s">
        <v>349</v>
      </c>
      <c r="D958" s="382">
        <v>4666500</v>
      </c>
      <c r="E958" s="383">
        <v>3784949.85</v>
      </c>
      <c r="F958" s="384">
        <v>881550.15</v>
      </c>
      <c r="G958" s="71" t="str">
        <f t="shared" si="16"/>
        <v>240</v>
      </c>
    </row>
    <row r="959" spans="1:7" ht="12.75">
      <c r="A959" s="370" t="s">
        <v>1658</v>
      </c>
      <c r="B959" s="371">
        <v>200</v>
      </c>
      <c r="C959" s="369" t="s">
        <v>156</v>
      </c>
      <c r="D959" s="385">
        <v>4666500</v>
      </c>
      <c r="E959" s="380">
        <v>3784949.85</v>
      </c>
      <c r="F959" s="386">
        <v>881550.15</v>
      </c>
      <c r="G959" s="71" t="str">
        <f t="shared" si="16"/>
        <v>244</v>
      </c>
    </row>
    <row r="960" spans="1:7" ht="67.5">
      <c r="A960" s="377" t="s">
        <v>1755</v>
      </c>
      <c r="B960" s="374">
        <v>200</v>
      </c>
      <c r="C960" s="372" t="s">
        <v>500</v>
      </c>
      <c r="D960" s="382">
        <v>12892400</v>
      </c>
      <c r="E960" s="383">
        <v>12836999.2</v>
      </c>
      <c r="F960" s="384">
        <v>55400.8</v>
      </c>
      <c r="G960" s="71" t="str">
        <f t="shared" si="16"/>
        <v>000</v>
      </c>
    </row>
    <row r="961" spans="1:7" ht="22.5">
      <c r="A961" s="373" t="s">
        <v>411</v>
      </c>
      <c r="B961" s="374">
        <v>200</v>
      </c>
      <c r="C961" s="372" t="s">
        <v>501</v>
      </c>
      <c r="D961" s="382">
        <v>12892400</v>
      </c>
      <c r="E961" s="383">
        <v>12836999.2</v>
      </c>
      <c r="F961" s="384">
        <v>55400.8</v>
      </c>
      <c r="G961" s="71" t="str">
        <f t="shared" si="16"/>
        <v>200</v>
      </c>
    </row>
    <row r="962" spans="1:7" ht="22.5">
      <c r="A962" s="373" t="s">
        <v>38</v>
      </c>
      <c r="B962" s="374">
        <v>200</v>
      </c>
      <c r="C962" s="372" t="s">
        <v>502</v>
      </c>
      <c r="D962" s="382">
        <v>12892400</v>
      </c>
      <c r="E962" s="383">
        <v>12836999.2</v>
      </c>
      <c r="F962" s="384">
        <v>55400.8</v>
      </c>
      <c r="G962" s="71" t="str">
        <f t="shared" si="16"/>
        <v>240</v>
      </c>
    </row>
    <row r="963" spans="1:7" ht="12.75">
      <c r="A963" s="370" t="s">
        <v>1658</v>
      </c>
      <c r="B963" s="371">
        <v>200</v>
      </c>
      <c r="C963" s="369" t="s">
        <v>503</v>
      </c>
      <c r="D963" s="385">
        <v>12892400</v>
      </c>
      <c r="E963" s="380">
        <v>12836999.2</v>
      </c>
      <c r="F963" s="386">
        <v>55400.8</v>
      </c>
      <c r="G963" s="71" t="str">
        <f t="shared" si="16"/>
        <v>244</v>
      </c>
    </row>
    <row r="964" spans="1:7" ht="22.5">
      <c r="A964" s="373" t="s">
        <v>350</v>
      </c>
      <c r="B964" s="374">
        <v>200</v>
      </c>
      <c r="C964" s="372" t="s">
        <v>351</v>
      </c>
      <c r="D964" s="382">
        <v>435465571.31</v>
      </c>
      <c r="E964" s="383">
        <v>430149741.55</v>
      </c>
      <c r="F964" s="384">
        <v>5315829.76</v>
      </c>
      <c r="G964" s="71" t="str">
        <f t="shared" si="16"/>
        <v>000</v>
      </c>
    </row>
    <row r="965" spans="1:7" ht="12.75">
      <c r="A965" s="373" t="s">
        <v>1362</v>
      </c>
      <c r="B965" s="374">
        <v>200</v>
      </c>
      <c r="C965" s="372" t="s">
        <v>352</v>
      </c>
      <c r="D965" s="382">
        <v>435465571.31</v>
      </c>
      <c r="E965" s="383">
        <v>430149741.55</v>
      </c>
      <c r="F965" s="384">
        <v>5315829.76</v>
      </c>
      <c r="G965" s="71" t="str">
        <f t="shared" si="16"/>
        <v>000</v>
      </c>
    </row>
    <row r="966" spans="1:7" ht="12.75">
      <c r="A966" s="373" t="s">
        <v>591</v>
      </c>
      <c r="B966" s="374">
        <v>200</v>
      </c>
      <c r="C966" s="372" t="s">
        <v>353</v>
      </c>
      <c r="D966" s="382">
        <v>4017348</v>
      </c>
      <c r="E966" s="383">
        <v>3707720.06</v>
      </c>
      <c r="F966" s="384">
        <v>309627.94</v>
      </c>
      <c r="G966" s="71" t="str">
        <f t="shared" si="16"/>
        <v>000</v>
      </c>
    </row>
    <row r="967" spans="1:7" ht="12.75">
      <c r="A967" s="373" t="s">
        <v>243</v>
      </c>
      <c r="B967" s="374">
        <v>200</v>
      </c>
      <c r="C967" s="372" t="s">
        <v>354</v>
      </c>
      <c r="D967" s="382">
        <v>4017348</v>
      </c>
      <c r="E967" s="383">
        <v>3707720.06</v>
      </c>
      <c r="F967" s="384">
        <v>309627.94</v>
      </c>
      <c r="G967" s="71" t="str">
        <f t="shared" si="16"/>
        <v>000</v>
      </c>
    </row>
    <row r="968" spans="1:7" ht="12.75">
      <c r="A968" s="373" t="s">
        <v>1067</v>
      </c>
      <c r="B968" s="374">
        <v>200</v>
      </c>
      <c r="C968" s="372" t="s">
        <v>355</v>
      </c>
      <c r="D968" s="382">
        <v>4017348</v>
      </c>
      <c r="E968" s="383">
        <v>3707720.06</v>
      </c>
      <c r="F968" s="384">
        <v>309627.94</v>
      </c>
      <c r="G968" s="71" t="str">
        <f t="shared" si="16"/>
        <v>000</v>
      </c>
    </row>
    <row r="969" spans="1:7" ht="12.75">
      <c r="A969" s="373" t="s">
        <v>43</v>
      </c>
      <c r="B969" s="374">
        <v>200</v>
      </c>
      <c r="C969" s="372" t="s">
        <v>356</v>
      </c>
      <c r="D969" s="382">
        <v>4017348</v>
      </c>
      <c r="E969" s="383">
        <v>3707720.06</v>
      </c>
      <c r="F969" s="384">
        <v>309627.94</v>
      </c>
      <c r="G969" s="71" t="str">
        <f t="shared" si="16"/>
        <v>300</v>
      </c>
    </row>
    <row r="970" spans="1:7" ht="12.75">
      <c r="A970" s="373" t="s">
        <v>45</v>
      </c>
      <c r="B970" s="374">
        <v>200</v>
      </c>
      <c r="C970" s="372" t="s">
        <v>357</v>
      </c>
      <c r="D970" s="382">
        <v>4017348</v>
      </c>
      <c r="E970" s="383">
        <v>3707720.06</v>
      </c>
      <c r="F970" s="384">
        <v>309627.94</v>
      </c>
      <c r="G970" s="71" t="str">
        <f t="shared" si="16"/>
        <v>310</v>
      </c>
    </row>
    <row r="971" spans="1:7" ht="12.75">
      <c r="A971" s="370" t="s">
        <v>1066</v>
      </c>
      <c r="B971" s="371">
        <v>200</v>
      </c>
      <c r="C971" s="369" t="s">
        <v>358</v>
      </c>
      <c r="D971" s="385">
        <v>4017348</v>
      </c>
      <c r="E971" s="380">
        <v>3707720.06</v>
      </c>
      <c r="F971" s="386">
        <v>309627.94</v>
      </c>
      <c r="G971" s="71" t="str">
        <f t="shared" si="16"/>
        <v>312</v>
      </c>
    </row>
    <row r="972" spans="1:7" ht="12.75">
      <c r="A972" s="373" t="s">
        <v>1315</v>
      </c>
      <c r="B972" s="374">
        <v>200</v>
      </c>
      <c r="C972" s="372" t="s">
        <v>359</v>
      </c>
      <c r="D972" s="382">
        <v>128638631.75</v>
      </c>
      <c r="E972" s="383">
        <v>128638631.75</v>
      </c>
      <c r="F972" s="384">
        <v>0</v>
      </c>
      <c r="G972" s="71" t="str">
        <f t="shared" si="16"/>
        <v>000</v>
      </c>
    </row>
    <row r="973" spans="1:7" ht="12.75">
      <c r="A973" s="373" t="s">
        <v>243</v>
      </c>
      <c r="B973" s="374">
        <v>200</v>
      </c>
      <c r="C973" s="372" t="s">
        <v>360</v>
      </c>
      <c r="D973" s="382">
        <v>128638631.75</v>
      </c>
      <c r="E973" s="383">
        <v>128638631.75</v>
      </c>
      <c r="F973" s="384">
        <v>0</v>
      </c>
      <c r="G973" s="71" t="str">
        <f t="shared" si="16"/>
        <v>000</v>
      </c>
    </row>
    <row r="974" spans="1:7" ht="33.75">
      <c r="A974" s="373" t="s">
        <v>1756</v>
      </c>
      <c r="B974" s="374">
        <v>200</v>
      </c>
      <c r="C974" s="372" t="s">
        <v>361</v>
      </c>
      <c r="D974" s="382">
        <v>128638631.75</v>
      </c>
      <c r="E974" s="383">
        <v>128638631.75</v>
      </c>
      <c r="F974" s="384">
        <v>0</v>
      </c>
      <c r="G974" s="71" t="str">
        <f t="shared" si="16"/>
        <v>000</v>
      </c>
    </row>
    <row r="975" spans="1:7" ht="22.5">
      <c r="A975" s="373" t="s">
        <v>46</v>
      </c>
      <c r="B975" s="374">
        <v>200</v>
      </c>
      <c r="C975" s="372" t="s">
        <v>1167</v>
      </c>
      <c r="D975" s="382">
        <v>128638631.75</v>
      </c>
      <c r="E975" s="383">
        <v>128638631.75</v>
      </c>
      <c r="F975" s="384">
        <v>0</v>
      </c>
      <c r="G975" s="71" t="str">
        <f t="shared" si="16"/>
        <v>600</v>
      </c>
    </row>
    <row r="976" spans="1:7" ht="12.75">
      <c r="A976" s="373" t="s">
        <v>48</v>
      </c>
      <c r="B976" s="374">
        <v>200</v>
      </c>
      <c r="C976" s="372" t="s">
        <v>1168</v>
      </c>
      <c r="D976" s="382">
        <v>128638631.75</v>
      </c>
      <c r="E976" s="383">
        <v>128638631.75</v>
      </c>
      <c r="F976" s="384">
        <v>0</v>
      </c>
      <c r="G976" s="71" t="str">
        <f t="shared" si="16"/>
        <v>610</v>
      </c>
    </row>
    <row r="977" spans="1:7" ht="33.75">
      <c r="A977" s="370" t="s">
        <v>651</v>
      </c>
      <c r="B977" s="371">
        <v>200</v>
      </c>
      <c r="C977" s="369" t="s">
        <v>504</v>
      </c>
      <c r="D977" s="385">
        <v>128638631.75</v>
      </c>
      <c r="E977" s="380">
        <v>128638631.75</v>
      </c>
      <c r="F977" s="386">
        <v>0</v>
      </c>
      <c r="G977" s="71" t="str">
        <f t="shared" si="16"/>
        <v>611</v>
      </c>
    </row>
    <row r="978" spans="1:7" ht="12.75">
      <c r="A978" s="373" t="s">
        <v>601</v>
      </c>
      <c r="B978" s="374">
        <v>200</v>
      </c>
      <c r="C978" s="372" t="s">
        <v>967</v>
      </c>
      <c r="D978" s="382">
        <v>252478141.56</v>
      </c>
      <c r="E978" s="383">
        <v>248577546.71</v>
      </c>
      <c r="F978" s="384">
        <v>3900594.85</v>
      </c>
      <c r="G978" s="71" t="str">
        <f t="shared" si="16"/>
        <v>000</v>
      </c>
    </row>
    <row r="979" spans="1:7" ht="33.75">
      <c r="A979" s="373" t="s">
        <v>1410</v>
      </c>
      <c r="B979" s="374">
        <v>200</v>
      </c>
      <c r="C979" s="372" t="s">
        <v>2436</v>
      </c>
      <c r="D979" s="382">
        <v>1380</v>
      </c>
      <c r="E979" s="383">
        <v>1380</v>
      </c>
      <c r="F979" s="384">
        <v>0</v>
      </c>
      <c r="G979" s="71" t="str">
        <f t="shared" si="16"/>
        <v>000</v>
      </c>
    </row>
    <row r="980" spans="1:7" ht="56.25">
      <c r="A980" s="377" t="s">
        <v>1770</v>
      </c>
      <c r="B980" s="374">
        <v>200</v>
      </c>
      <c r="C980" s="372" t="s">
        <v>2437</v>
      </c>
      <c r="D980" s="382">
        <v>1380</v>
      </c>
      <c r="E980" s="383">
        <v>1380</v>
      </c>
      <c r="F980" s="384">
        <v>0</v>
      </c>
      <c r="G980" s="71" t="str">
        <f t="shared" si="16"/>
        <v>000</v>
      </c>
    </row>
    <row r="981" spans="1:7" ht="22.5">
      <c r="A981" s="373" t="s">
        <v>411</v>
      </c>
      <c r="B981" s="374">
        <v>200</v>
      </c>
      <c r="C981" s="372" t="s">
        <v>2438</v>
      </c>
      <c r="D981" s="382">
        <v>1380</v>
      </c>
      <c r="E981" s="383">
        <v>1380</v>
      </c>
      <c r="F981" s="384">
        <v>0</v>
      </c>
      <c r="G981" s="71" t="str">
        <f t="shared" si="16"/>
        <v>200</v>
      </c>
    </row>
    <row r="982" spans="1:7" ht="22.5">
      <c r="A982" s="373" t="s">
        <v>38</v>
      </c>
      <c r="B982" s="374">
        <v>200</v>
      </c>
      <c r="C982" s="372" t="s">
        <v>2439</v>
      </c>
      <c r="D982" s="382">
        <v>1380</v>
      </c>
      <c r="E982" s="383">
        <v>1380</v>
      </c>
      <c r="F982" s="384">
        <v>0</v>
      </c>
      <c r="G982" s="71" t="str">
        <f t="shared" si="16"/>
        <v>240</v>
      </c>
    </row>
    <row r="983" spans="1:7" ht="12.75">
      <c r="A983" s="370" t="s">
        <v>1658</v>
      </c>
      <c r="B983" s="371">
        <v>200</v>
      </c>
      <c r="C983" s="369" t="s">
        <v>2440</v>
      </c>
      <c r="D983" s="385">
        <v>1380</v>
      </c>
      <c r="E983" s="380">
        <v>1380</v>
      </c>
      <c r="F983" s="386">
        <v>0</v>
      </c>
      <c r="G983" s="71" t="str">
        <f t="shared" si="16"/>
        <v>244</v>
      </c>
    </row>
    <row r="984" spans="1:7" ht="45">
      <c r="A984" s="377" t="s">
        <v>1597</v>
      </c>
      <c r="B984" s="374">
        <v>200</v>
      </c>
      <c r="C984" s="372" t="s">
        <v>968</v>
      </c>
      <c r="D984" s="382">
        <v>173275600</v>
      </c>
      <c r="E984" s="383">
        <v>173275600</v>
      </c>
      <c r="F984" s="384">
        <v>0</v>
      </c>
      <c r="G984" s="71" t="str">
        <f t="shared" si="16"/>
        <v>000</v>
      </c>
    </row>
    <row r="985" spans="1:7" ht="67.5">
      <c r="A985" s="377" t="s">
        <v>1757</v>
      </c>
      <c r="B985" s="374">
        <v>200</v>
      </c>
      <c r="C985" s="372" t="s">
        <v>505</v>
      </c>
      <c r="D985" s="382">
        <v>85019100</v>
      </c>
      <c r="E985" s="383">
        <v>85019100</v>
      </c>
      <c r="F985" s="384">
        <v>0</v>
      </c>
      <c r="G985" s="71" t="str">
        <f t="shared" si="16"/>
        <v>000</v>
      </c>
    </row>
    <row r="986" spans="1:7" ht="22.5">
      <c r="A986" s="373" t="s">
        <v>411</v>
      </c>
      <c r="B986" s="374">
        <v>200</v>
      </c>
      <c r="C986" s="372" t="s">
        <v>506</v>
      </c>
      <c r="D986" s="382">
        <v>1244340</v>
      </c>
      <c r="E986" s="383">
        <v>1244340</v>
      </c>
      <c r="F986" s="384">
        <v>0</v>
      </c>
      <c r="G986" s="71" t="str">
        <f t="shared" si="16"/>
        <v>200</v>
      </c>
    </row>
    <row r="987" spans="1:7" ht="22.5">
      <c r="A987" s="373" t="s">
        <v>38</v>
      </c>
      <c r="B987" s="374">
        <v>200</v>
      </c>
      <c r="C987" s="372" t="s">
        <v>507</v>
      </c>
      <c r="D987" s="382">
        <v>1244340</v>
      </c>
      <c r="E987" s="383">
        <v>1244340</v>
      </c>
      <c r="F987" s="384">
        <v>0</v>
      </c>
      <c r="G987" s="71" t="str">
        <f t="shared" si="16"/>
        <v>240</v>
      </c>
    </row>
    <row r="988" spans="1:7" ht="12.75">
      <c r="A988" s="370" t="s">
        <v>1658</v>
      </c>
      <c r="B988" s="371">
        <v>200</v>
      </c>
      <c r="C988" s="369" t="s">
        <v>508</v>
      </c>
      <c r="D988" s="385">
        <v>1244340</v>
      </c>
      <c r="E988" s="380">
        <v>1244340</v>
      </c>
      <c r="F988" s="386">
        <v>0</v>
      </c>
      <c r="G988" s="71" t="str">
        <f t="shared" si="16"/>
        <v>244</v>
      </c>
    </row>
    <row r="989" spans="1:7" ht="12.75">
      <c r="A989" s="373" t="s">
        <v>43</v>
      </c>
      <c r="B989" s="374">
        <v>200</v>
      </c>
      <c r="C989" s="372" t="s">
        <v>509</v>
      </c>
      <c r="D989" s="382">
        <v>83774760</v>
      </c>
      <c r="E989" s="383">
        <v>83774760</v>
      </c>
      <c r="F989" s="384">
        <v>0</v>
      </c>
      <c r="G989" s="71" t="str">
        <f t="shared" si="16"/>
        <v>300</v>
      </c>
    </row>
    <row r="990" spans="1:7" ht="22.5">
      <c r="A990" s="373" t="s">
        <v>44</v>
      </c>
      <c r="B990" s="374">
        <v>200</v>
      </c>
      <c r="C990" s="372" t="s">
        <v>510</v>
      </c>
      <c r="D990" s="382">
        <v>83774760</v>
      </c>
      <c r="E990" s="383">
        <v>83774760</v>
      </c>
      <c r="F990" s="384">
        <v>0</v>
      </c>
      <c r="G990" s="71" t="str">
        <f t="shared" si="16"/>
        <v>320</v>
      </c>
    </row>
    <row r="991" spans="1:7" ht="22.5">
      <c r="A991" s="370" t="s">
        <v>1075</v>
      </c>
      <c r="B991" s="371">
        <v>200</v>
      </c>
      <c r="C991" s="369" t="s">
        <v>511</v>
      </c>
      <c r="D991" s="385">
        <v>83774760</v>
      </c>
      <c r="E991" s="380">
        <v>83774760</v>
      </c>
      <c r="F991" s="386">
        <v>0</v>
      </c>
      <c r="G991" s="71" t="str">
        <f t="shared" si="16"/>
        <v>321</v>
      </c>
    </row>
    <row r="992" spans="1:7" ht="135">
      <c r="A992" s="377" t="s">
        <v>1758</v>
      </c>
      <c r="B992" s="374">
        <v>200</v>
      </c>
      <c r="C992" s="372" t="s">
        <v>969</v>
      </c>
      <c r="D992" s="382">
        <v>88256500</v>
      </c>
      <c r="E992" s="383">
        <v>88256500</v>
      </c>
      <c r="F992" s="384">
        <v>0</v>
      </c>
      <c r="G992" s="71" t="str">
        <f t="shared" si="16"/>
        <v>000</v>
      </c>
    </row>
    <row r="993" spans="1:7" ht="22.5">
      <c r="A993" s="373" t="s">
        <v>411</v>
      </c>
      <c r="B993" s="374">
        <v>200</v>
      </c>
      <c r="C993" s="372" t="s">
        <v>970</v>
      </c>
      <c r="D993" s="382">
        <v>1109560</v>
      </c>
      <c r="E993" s="383">
        <v>1109560</v>
      </c>
      <c r="F993" s="384">
        <v>0</v>
      </c>
      <c r="G993" s="71" t="str">
        <f t="shared" si="16"/>
        <v>200</v>
      </c>
    </row>
    <row r="994" spans="1:7" ht="22.5">
      <c r="A994" s="373" t="s">
        <v>38</v>
      </c>
      <c r="B994" s="374">
        <v>200</v>
      </c>
      <c r="C994" s="372" t="s">
        <v>971</v>
      </c>
      <c r="D994" s="382">
        <v>1109560</v>
      </c>
      <c r="E994" s="383">
        <v>1109560</v>
      </c>
      <c r="F994" s="384">
        <v>0</v>
      </c>
      <c r="G994" s="71" t="str">
        <f t="shared" si="16"/>
        <v>240</v>
      </c>
    </row>
    <row r="995" spans="1:7" ht="12.75">
      <c r="A995" s="370" t="s">
        <v>1658</v>
      </c>
      <c r="B995" s="371">
        <v>200</v>
      </c>
      <c r="C995" s="369" t="s">
        <v>972</v>
      </c>
      <c r="D995" s="385">
        <v>1109560</v>
      </c>
      <c r="E995" s="380">
        <v>1109560</v>
      </c>
      <c r="F995" s="386">
        <v>0</v>
      </c>
      <c r="G995" s="71" t="str">
        <f t="shared" si="16"/>
        <v>244</v>
      </c>
    </row>
    <row r="996" spans="1:7" ht="12.75">
      <c r="A996" s="373" t="s">
        <v>43</v>
      </c>
      <c r="B996" s="374">
        <v>200</v>
      </c>
      <c r="C996" s="372" t="s">
        <v>973</v>
      </c>
      <c r="D996" s="382">
        <v>87146940</v>
      </c>
      <c r="E996" s="383">
        <v>87146940</v>
      </c>
      <c r="F996" s="384">
        <v>0</v>
      </c>
      <c r="G996" s="71" t="str">
        <f aca="true" t="shared" si="17" ref="G996:G1051">RIGHT(C996,3)</f>
        <v>300</v>
      </c>
    </row>
    <row r="997" spans="1:7" ht="22.5">
      <c r="A997" s="373" t="s">
        <v>44</v>
      </c>
      <c r="B997" s="374">
        <v>200</v>
      </c>
      <c r="C997" s="372" t="s">
        <v>974</v>
      </c>
      <c r="D997" s="382">
        <v>87146940</v>
      </c>
      <c r="E997" s="383">
        <v>87146940</v>
      </c>
      <c r="F997" s="384">
        <v>0</v>
      </c>
      <c r="G997" s="71" t="str">
        <f t="shared" si="17"/>
        <v>320</v>
      </c>
    </row>
    <row r="998" spans="1:7" ht="22.5">
      <c r="A998" s="370" t="s">
        <v>1075</v>
      </c>
      <c r="B998" s="371">
        <v>200</v>
      </c>
      <c r="C998" s="369" t="s">
        <v>975</v>
      </c>
      <c r="D998" s="385">
        <v>87146940</v>
      </c>
      <c r="E998" s="380">
        <v>87146940</v>
      </c>
      <c r="F998" s="386">
        <v>0</v>
      </c>
      <c r="G998" s="71" t="str">
        <f t="shared" si="17"/>
        <v>321</v>
      </c>
    </row>
    <row r="999" spans="1:7" ht="12.75">
      <c r="A999" s="373" t="s">
        <v>243</v>
      </c>
      <c r="B999" s="374">
        <v>200</v>
      </c>
      <c r="C999" s="372" t="s">
        <v>976</v>
      </c>
      <c r="D999" s="382">
        <v>79201161.56</v>
      </c>
      <c r="E999" s="383">
        <v>75300566.71</v>
      </c>
      <c r="F999" s="384">
        <v>3900594.85</v>
      </c>
      <c r="G999" s="71" t="str">
        <f t="shared" si="17"/>
        <v>000</v>
      </c>
    </row>
    <row r="1000" spans="1:7" ht="67.5">
      <c r="A1000" s="377" t="s">
        <v>1612</v>
      </c>
      <c r="B1000" s="374">
        <v>200</v>
      </c>
      <c r="C1000" s="372" t="s">
        <v>977</v>
      </c>
      <c r="D1000" s="382">
        <v>2901460</v>
      </c>
      <c r="E1000" s="383">
        <v>2303900</v>
      </c>
      <c r="F1000" s="384">
        <v>597560</v>
      </c>
      <c r="G1000" s="71" t="str">
        <f t="shared" si="17"/>
        <v>000</v>
      </c>
    </row>
    <row r="1001" spans="1:7" ht="22.5">
      <c r="A1001" s="373" t="s">
        <v>411</v>
      </c>
      <c r="B1001" s="374">
        <v>200</v>
      </c>
      <c r="C1001" s="372" t="s">
        <v>978</v>
      </c>
      <c r="D1001" s="382">
        <v>6960.96</v>
      </c>
      <c r="E1001" s="383">
        <v>4876.96</v>
      </c>
      <c r="F1001" s="384">
        <v>2084</v>
      </c>
      <c r="G1001" s="71" t="str">
        <f t="shared" si="17"/>
        <v>200</v>
      </c>
    </row>
    <row r="1002" spans="1:7" ht="22.5">
      <c r="A1002" s="373" t="s">
        <v>38</v>
      </c>
      <c r="B1002" s="374">
        <v>200</v>
      </c>
      <c r="C1002" s="372" t="s">
        <v>979</v>
      </c>
      <c r="D1002" s="382">
        <v>6960.96</v>
      </c>
      <c r="E1002" s="383">
        <v>4876.96</v>
      </c>
      <c r="F1002" s="384">
        <v>2084</v>
      </c>
      <c r="G1002" s="71" t="str">
        <f t="shared" si="17"/>
        <v>240</v>
      </c>
    </row>
    <row r="1003" spans="1:7" ht="12.75">
      <c r="A1003" s="370" t="s">
        <v>1658</v>
      </c>
      <c r="B1003" s="371">
        <v>200</v>
      </c>
      <c r="C1003" s="369" t="s">
        <v>980</v>
      </c>
      <c r="D1003" s="385">
        <v>6960.96</v>
      </c>
      <c r="E1003" s="380">
        <v>4876.96</v>
      </c>
      <c r="F1003" s="386">
        <v>2084</v>
      </c>
      <c r="G1003" s="71" t="str">
        <f t="shared" si="17"/>
        <v>244</v>
      </c>
    </row>
    <row r="1004" spans="1:7" ht="12.75">
      <c r="A1004" s="373" t="s">
        <v>43</v>
      </c>
      <c r="B1004" s="374">
        <v>200</v>
      </c>
      <c r="C1004" s="372" t="s">
        <v>981</v>
      </c>
      <c r="D1004" s="382">
        <v>2894499.04</v>
      </c>
      <c r="E1004" s="383">
        <v>2299023.04</v>
      </c>
      <c r="F1004" s="384">
        <v>595476</v>
      </c>
      <c r="G1004" s="71" t="str">
        <f t="shared" si="17"/>
        <v>300</v>
      </c>
    </row>
    <row r="1005" spans="1:7" ht="22.5">
      <c r="A1005" s="373" t="s">
        <v>44</v>
      </c>
      <c r="B1005" s="374">
        <v>200</v>
      </c>
      <c r="C1005" s="372" t="s">
        <v>982</v>
      </c>
      <c r="D1005" s="382">
        <v>2894499.04</v>
      </c>
      <c r="E1005" s="383">
        <v>2299023.04</v>
      </c>
      <c r="F1005" s="384">
        <v>595476</v>
      </c>
      <c r="G1005" s="71" t="str">
        <f t="shared" si="17"/>
        <v>320</v>
      </c>
    </row>
    <row r="1006" spans="1:7" ht="22.5">
      <c r="A1006" s="370" t="s">
        <v>1075</v>
      </c>
      <c r="B1006" s="371">
        <v>200</v>
      </c>
      <c r="C1006" s="369" t="s">
        <v>983</v>
      </c>
      <c r="D1006" s="385">
        <v>2894499.04</v>
      </c>
      <c r="E1006" s="380">
        <v>2299023.04</v>
      </c>
      <c r="F1006" s="386">
        <v>595476</v>
      </c>
      <c r="G1006" s="71" t="str">
        <f t="shared" si="17"/>
        <v>321</v>
      </c>
    </row>
    <row r="1007" spans="1:7" ht="33.75">
      <c r="A1007" s="373" t="s">
        <v>755</v>
      </c>
      <c r="B1007" s="374">
        <v>200</v>
      </c>
      <c r="C1007" s="372" t="s">
        <v>984</v>
      </c>
      <c r="D1007" s="382">
        <v>368300</v>
      </c>
      <c r="E1007" s="383">
        <v>368300</v>
      </c>
      <c r="F1007" s="384">
        <v>0</v>
      </c>
      <c r="G1007" s="71" t="str">
        <f t="shared" si="17"/>
        <v>000</v>
      </c>
    </row>
    <row r="1008" spans="1:7" ht="22.5">
      <c r="A1008" s="373" t="s">
        <v>411</v>
      </c>
      <c r="B1008" s="374">
        <v>200</v>
      </c>
      <c r="C1008" s="372" t="s">
        <v>2050</v>
      </c>
      <c r="D1008" s="382">
        <v>368300</v>
      </c>
      <c r="E1008" s="383">
        <v>368300</v>
      </c>
      <c r="F1008" s="384">
        <v>0</v>
      </c>
      <c r="G1008" s="71" t="str">
        <f t="shared" si="17"/>
        <v>200</v>
      </c>
    </row>
    <row r="1009" spans="1:7" ht="22.5">
      <c r="A1009" s="373" t="s">
        <v>38</v>
      </c>
      <c r="B1009" s="374">
        <v>200</v>
      </c>
      <c r="C1009" s="372" t="s">
        <v>2051</v>
      </c>
      <c r="D1009" s="382">
        <v>368300</v>
      </c>
      <c r="E1009" s="383">
        <v>368300</v>
      </c>
      <c r="F1009" s="384">
        <v>0</v>
      </c>
      <c r="G1009" s="71" t="str">
        <f t="shared" si="17"/>
        <v>240</v>
      </c>
    </row>
    <row r="1010" spans="1:7" ht="12.75">
      <c r="A1010" s="370" t="s">
        <v>1658</v>
      </c>
      <c r="B1010" s="371">
        <v>200</v>
      </c>
      <c r="C1010" s="369" t="s">
        <v>2052</v>
      </c>
      <c r="D1010" s="385">
        <v>368300</v>
      </c>
      <c r="E1010" s="380">
        <v>368300</v>
      </c>
      <c r="F1010" s="386">
        <v>0</v>
      </c>
      <c r="G1010" s="71" t="str">
        <f t="shared" si="17"/>
        <v>244</v>
      </c>
    </row>
    <row r="1011" spans="1:7" ht="45">
      <c r="A1011" s="377" t="s">
        <v>1613</v>
      </c>
      <c r="B1011" s="374">
        <v>200</v>
      </c>
      <c r="C1011" s="372" t="s">
        <v>985</v>
      </c>
      <c r="D1011" s="382">
        <v>53002900</v>
      </c>
      <c r="E1011" s="383">
        <v>52321267.89</v>
      </c>
      <c r="F1011" s="384">
        <v>681632.11</v>
      </c>
      <c r="G1011" s="71" t="str">
        <f t="shared" si="17"/>
        <v>000</v>
      </c>
    </row>
    <row r="1012" spans="1:7" ht="22.5">
      <c r="A1012" s="373" t="s">
        <v>411</v>
      </c>
      <c r="B1012" s="374">
        <v>200</v>
      </c>
      <c r="C1012" s="372" t="s">
        <v>986</v>
      </c>
      <c r="D1012" s="382">
        <v>8500</v>
      </c>
      <c r="E1012" s="383">
        <v>8274.5</v>
      </c>
      <c r="F1012" s="384">
        <v>225.5</v>
      </c>
      <c r="G1012" s="71" t="str">
        <f t="shared" si="17"/>
        <v>200</v>
      </c>
    </row>
    <row r="1013" spans="1:7" ht="22.5">
      <c r="A1013" s="373" t="s">
        <v>38</v>
      </c>
      <c r="B1013" s="374">
        <v>200</v>
      </c>
      <c r="C1013" s="372" t="s">
        <v>987</v>
      </c>
      <c r="D1013" s="382">
        <v>8500</v>
      </c>
      <c r="E1013" s="383">
        <v>8274.5</v>
      </c>
      <c r="F1013" s="384">
        <v>225.5</v>
      </c>
      <c r="G1013" s="71" t="str">
        <f t="shared" si="17"/>
        <v>240</v>
      </c>
    </row>
    <row r="1014" spans="1:7" ht="12.75">
      <c r="A1014" s="370" t="s">
        <v>1658</v>
      </c>
      <c r="B1014" s="371">
        <v>200</v>
      </c>
      <c r="C1014" s="369" t="s">
        <v>988</v>
      </c>
      <c r="D1014" s="385">
        <v>8500</v>
      </c>
      <c r="E1014" s="380">
        <v>8274.5</v>
      </c>
      <c r="F1014" s="386">
        <v>225.5</v>
      </c>
      <c r="G1014" s="71" t="str">
        <f t="shared" si="17"/>
        <v>244</v>
      </c>
    </row>
    <row r="1015" spans="1:7" ht="12.75">
      <c r="A1015" s="373" t="s">
        <v>43</v>
      </c>
      <c r="B1015" s="374">
        <v>200</v>
      </c>
      <c r="C1015" s="372" t="s">
        <v>989</v>
      </c>
      <c r="D1015" s="382">
        <v>52994400</v>
      </c>
      <c r="E1015" s="383">
        <v>52312993.39</v>
      </c>
      <c r="F1015" s="384">
        <v>681406.61</v>
      </c>
      <c r="G1015" s="71" t="str">
        <f t="shared" si="17"/>
        <v>300</v>
      </c>
    </row>
    <row r="1016" spans="1:7" ht="22.5">
      <c r="A1016" s="373" t="s">
        <v>44</v>
      </c>
      <c r="B1016" s="374">
        <v>200</v>
      </c>
      <c r="C1016" s="372" t="s">
        <v>990</v>
      </c>
      <c r="D1016" s="382">
        <v>52994400</v>
      </c>
      <c r="E1016" s="383">
        <v>52312993.39</v>
      </c>
      <c r="F1016" s="384">
        <v>681406.61</v>
      </c>
      <c r="G1016" s="71" t="str">
        <f t="shared" si="17"/>
        <v>320</v>
      </c>
    </row>
    <row r="1017" spans="1:7" ht="22.5">
      <c r="A1017" s="370" t="s">
        <v>1075</v>
      </c>
      <c r="B1017" s="371">
        <v>200</v>
      </c>
      <c r="C1017" s="369" t="s">
        <v>991</v>
      </c>
      <c r="D1017" s="385">
        <v>52994400</v>
      </c>
      <c r="E1017" s="380">
        <v>52312993.39</v>
      </c>
      <c r="F1017" s="386">
        <v>681406.61</v>
      </c>
      <c r="G1017" s="71" t="str">
        <f t="shared" si="17"/>
        <v>321</v>
      </c>
    </row>
    <row r="1018" spans="1:7" ht="33.75">
      <c r="A1018" s="373" t="s">
        <v>1050</v>
      </c>
      <c r="B1018" s="374">
        <v>200</v>
      </c>
      <c r="C1018" s="372" t="s">
        <v>1759</v>
      </c>
      <c r="D1018" s="382">
        <v>8907629.56</v>
      </c>
      <c r="E1018" s="383">
        <v>8089322.51</v>
      </c>
      <c r="F1018" s="384">
        <v>818307.05</v>
      </c>
      <c r="G1018" s="71" t="str">
        <f t="shared" si="17"/>
        <v>000</v>
      </c>
    </row>
    <row r="1019" spans="1:7" ht="12.75">
      <c r="A1019" s="373" t="s">
        <v>43</v>
      </c>
      <c r="B1019" s="374">
        <v>200</v>
      </c>
      <c r="C1019" s="372" t="s">
        <v>1760</v>
      </c>
      <c r="D1019" s="382">
        <v>8907629.56</v>
      </c>
      <c r="E1019" s="383">
        <v>8089322.51</v>
      </c>
      <c r="F1019" s="384">
        <v>818307.05</v>
      </c>
      <c r="G1019" s="71" t="str">
        <f t="shared" si="17"/>
        <v>300</v>
      </c>
    </row>
    <row r="1020" spans="1:7" ht="22.5">
      <c r="A1020" s="373" t="s">
        <v>44</v>
      </c>
      <c r="B1020" s="374">
        <v>200</v>
      </c>
      <c r="C1020" s="372" t="s">
        <v>1761</v>
      </c>
      <c r="D1020" s="382">
        <v>8887709.56</v>
      </c>
      <c r="E1020" s="383">
        <v>8084772.51</v>
      </c>
      <c r="F1020" s="384">
        <v>802937.05</v>
      </c>
      <c r="G1020" s="71" t="str">
        <f t="shared" si="17"/>
        <v>320</v>
      </c>
    </row>
    <row r="1021" spans="1:7" ht="22.5">
      <c r="A1021" s="370" t="s">
        <v>50</v>
      </c>
      <c r="B1021" s="371">
        <v>200</v>
      </c>
      <c r="C1021" s="369" t="s">
        <v>1762</v>
      </c>
      <c r="D1021" s="385">
        <v>8887709.56</v>
      </c>
      <c r="E1021" s="380">
        <v>8084772.51</v>
      </c>
      <c r="F1021" s="386">
        <v>802937.05</v>
      </c>
      <c r="G1021" s="71" t="str">
        <f t="shared" si="17"/>
        <v>323</v>
      </c>
    </row>
    <row r="1022" spans="1:7" ht="12.75">
      <c r="A1022" s="370" t="s">
        <v>633</v>
      </c>
      <c r="B1022" s="371">
        <v>200</v>
      </c>
      <c r="C1022" s="369" t="s">
        <v>2200</v>
      </c>
      <c r="D1022" s="385">
        <v>19920</v>
      </c>
      <c r="E1022" s="380">
        <v>4550</v>
      </c>
      <c r="F1022" s="386">
        <v>15370</v>
      </c>
      <c r="G1022" s="71" t="str">
        <f t="shared" si="17"/>
        <v>360</v>
      </c>
    </row>
    <row r="1023" spans="1:7" ht="33.75">
      <c r="A1023" s="373" t="s">
        <v>658</v>
      </c>
      <c r="B1023" s="374">
        <v>200</v>
      </c>
      <c r="C1023" s="372" t="s">
        <v>992</v>
      </c>
      <c r="D1023" s="382">
        <v>420202</v>
      </c>
      <c r="E1023" s="383">
        <v>376679.14</v>
      </c>
      <c r="F1023" s="384">
        <v>43522.86</v>
      </c>
      <c r="G1023" s="71" t="str">
        <f t="shared" si="17"/>
        <v>000</v>
      </c>
    </row>
    <row r="1024" spans="1:7" ht="22.5">
      <c r="A1024" s="373" t="s">
        <v>411</v>
      </c>
      <c r="B1024" s="374">
        <v>200</v>
      </c>
      <c r="C1024" s="372" t="s">
        <v>993</v>
      </c>
      <c r="D1024" s="382">
        <v>1234</v>
      </c>
      <c r="E1024" s="383">
        <v>374.14</v>
      </c>
      <c r="F1024" s="384">
        <v>859.86</v>
      </c>
      <c r="G1024" s="71" t="str">
        <f t="shared" si="17"/>
        <v>200</v>
      </c>
    </row>
    <row r="1025" spans="1:7" ht="22.5">
      <c r="A1025" s="373" t="s">
        <v>38</v>
      </c>
      <c r="B1025" s="374">
        <v>200</v>
      </c>
      <c r="C1025" s="372" t="s">
        <v>994</v>
      </c>
      <c r="D1025" s="382">
        <v>1234</v>
      </c>
      <c r="E1025" s="383">
        <v>374.14</v>
      </c>
      <c r="F1025" s="384">
        <v>859.86</v>
      </c>
      <c r="G1025" s="71" t="str">
        <f t="shared" si="17"/>
        <v>240</v>
      </c>
    </row>
    <row r="1026" spans="1:7" ht="12.75">
      <c r="A1026" s="370" t="s">
        <v>1658</v>
      </c>
      <c r="B1026" s="371">
        <v>200</v>
      </c>
      <c r="C1026" s="369" t="s">
        <v>995</v>
      </c>
      <c r="D1026" s="385">
        <v>1234</v>
      </c>
      <c r="E1026" s="380">
        <v>374.14</v>
      </c>
      <c r="F1026" s="386">
        <v>859.86</v>
      </c>
      <c r="G1026" s="71" t="str">
        <f t="shared" si="17"/>
        <v>244</v>
      </c>
    </row>
    <row r="1027" spans="1:7" ht="12.75">
      <c r="A1027" s="373" t="s">
        <v>43</v>
      </c>
      <c r="B1027" s="374">
        <v>200</v>
      </c>
      <c r="C1027" s="372" t="s">
        <v>996</v>
      </c>
      <c r="D1027" s="382">
        <v>418968</v>
      </c>
      <c r="E1027" s="383">
        <v>376305</v>
      </c>
      <c r="F1027" s="384">
        <v>42663</v>
      </c>
      <c r="G1027" s="71" t="str">
        <f t="shared" si="17"/>
        <v>300</v>
      </c>
    </row>
    <row r="1028" spans="1:7" ht="12.75">
      <c r="A1028" s="373" t="s">
        <v>45</v>
      </c>
      <c r="B1028" s="374">
        <v>200</v>
      </c>
      <c r="C1028" s="372" t="s">
        <v>997</v>
      </c>
      <c r="D1028" s="382">
        <v>418968</v>
      </c>
      <c r="E1028" s="383">
        <v>376305</v>
      </c>
      <c r="F1028" s="384">
        <v>42663</v>
      </c>
      <c r="G1028" s="71" t="str">
        <f t="shared" si="17"/>
        <v>310</v>
      </c>
    </row>
    <row r="1029" spans="1:7" ht="22.5">
      <c r="A1029" s="370" t="s">
        <v>1074</v>
      </c>
      <c r="B1029" s="371">
        <v>200</v>
      </c>
      <c r="C1029" s="369" t="s">
        <v>998</v>
      </c>
      <c r="D1029" s="385">
        <v>418968</v>
      </c>
      <c r="E1029" s="380">
        <v>376305</v>
      </c>
      <c r="F1029" s="386">
        <v>42663</v>
      </c>
      <c r="G1029" s="71" t="str">
        <f t="shared" si="17"/>
        <v>313</v>
      </c>
    </row>
    <row r="1030" spans="1:7" ht="45">
      <c r="A1030" s="373" t="s">
        <v>839</v>
      </c>
      <c r="B1030" s="374">
        <v>200</v>
      </c>
      <c r="C1030" s="372" t="s">
        <v>999</v>
      </c>
      <c r="D1030" s="382">
        <v>11847600</v>
      </c>
      <c r="E1030" s="383">
        <v>11841097.17</v>
      </c>
      <c r="F1030" s="384">
        <v>6502.83</v>
      </c>
      <c r="G1030" s="71" t="str">
        <f t="shared" si="17"/>
        <v>000</v>
      </c>
    </row>
    <row r="1031" spans="1:7" ht="12.75">
      <c r="A1031" s="373" t="s">
        <v>43</v>
      </c>
      <c r="B1031" s="374">
        <v>200</v>
      </c>
      <c r="C1031" s="372" t="s">
        <v>1000</v>
      </c>
      <c r="D1031" s="382">
        <v>11847600</v>
      </c>
      <c r="E1031" s="383">
        <v>11841097.17</v>
      </c>
      <c r="F1031" s="384">
        <v>6502.83</v>
      </c>
      <c r="G1031" s="71" t="str">
        <f t="shared" si="17"/>
        <v>300</v>
      </c>
    </row>
    <row r="1032" spans="1:7" ht="22.5">
      <c r="A1032" s="373" t="s">
        <v>44</v>
      </c>
      <c r="B1032" s="374">
        <v>200</v>
      </c>
      <c r="C1032" s="372" t="s">
        <v>1001</v>
      </c>
      <c r="D1032" s="382">
        <v>11847600</v>
      </c>
      <c r="E1032" s="383">
        <v>11841097.17</v>
      </c>
      <c r="F1032" s="384">
        <v>6502.83</v>
      </c>
      <c r="G1032" s="71" t="str">
        <f t="shared" si="17"/>
        <v>320</v>
      </c>
    </row>
    <row r="1033" spans="1:7" ht="22.5">
      <c r="A1033" s="370" t="s">
        <v>1075</v>
      </c>
      <c r="B1033" s="371">
        <v>200</v>
      </c>
      <c r="C1033" s="369" t="s">
        <v>1002</v>
      </c>
      <c r="D1033" s="385">
        <v>11847600</v>
      </c>
      <c r="E1033" s="380">
        <v>11841097.17</v>
      </c>
      <c r="F1033" s="386">
        <v>6502.83</v>
      </c>
      <c r="G1033" s="71" t="str">
        <f t="shared" si="17"/>
        <v>321</v>
      </c>
    </row>
    <row r="1034" spans="1:7" ht="45">
      <c r="A1034" s="373" t="s">
        <v>693</v>
      </c>
      <c r="B1034" s="374">
        <v>200</v>
      </c>
      <c r="C1034" s="372" t="s">
        <v>692</v>
      </c>
      <c r="D1034" s="382">
        <v>1753070</v>
      </c>
      <c r="E1034" s="383">
        <v>0</v>
      </c>
      <c r="F1034" s="384">
        <v>1753070</v>
      </c>
      <c r="G1034" s="71" t="str">
        <f t="shared" si="17"/>
        <v>000</v>
      </c>
    </row>
    <row r="1035" spans="1:7" ht="22.5">
      <c r="A1035" s="373" t="s">
        <v>411</v>
      </c>
      <c r="B1035" s="374">
        <v>200</v>
      </c>
      <c r="C1035" s="372" t="s">
        <v>691</v>
      </c>
      <c r="D1035" s="382">
        <v>25907</v>
      </c>
      <c r="E1035" s="383">
        <v>0</v>
      </c>
      <c r="F1035" s="384">
        <v>25907</v>
      </c>
      <c r="G1035" s="71" t="str">
        <f t="shared" si="17"/>
        <v>200</v>
      </c>
    </row>
    <row r="1036" spans="1:7" ht="22.5">
      <c r="A1036" s="373" t="s">
        <v>38</v>
      </c>
      <c r="B1036" s="374">
        <v>200</v>
      </c>
      <c r="C1036" s="372" t="s">
        <v>690</v>
      </c>
      <c r="D1036" s="382">
        <v>25907</v>
      </c>
      <c r="E1036" s="383">
        <v>0</v>
      </c>
      <c r="F1036" s="384">
        <v>25907</v>
      </c>
      <c r="G1036" s="71" t="str">
        <f t="shared" si="17"/>
        <v>240</v>
      </c>
    </row>
    <row r="1037" spans="1:7" ht="12.75">
      <c r="A1037" s="370" t="s">
        <v>1658</v>
      </c>
      <c r="B1037" s="371">
        <v>200</v>
      </c>
      <c r="C1037" s="369" t="s">
        <v>689</v>
      </c>
      <c r="D1037" s="385">
        <v>25907</v>
      </c>
      <c r="E1037" s="380">
        <v>0</v>
      </c>
      <c r="F1037" s="386">
        <v>25907</v>
      </c>
      <c r="G1037" s="71" t="str">
        <f t="shared" si="17"/>
        <v>244</v>
      </c>
    </row>
    <row r="1038" spans="1:7" ht="12.75">
      <c r="A1038" s="373" t="s">
        <v>43</v>
      </c>
      <c r="B1038" s="374">
        <v>200</v>
      </c>
      <c r="C1038" s="372" t="s">
        <v>688</v>
      </c>
      <c r="D1038" s="382">
        <v>1727163</v>
      </c>
      <c r="E1038" s="383">
        <v>0</v>
      </c>
      <c r="F1038" s="384">
        <v>1727163</v>
      </c>
      <c r="G1038" s="71" t="str">
        <f t="shared" si="17"/>
        <v>300</v>
      </c>
    </row>
    <row r="1039" spans="1:7" ht="12.75">
      <c r="A1039" s="373" t="s">
        <v>45</v>
      </c>
      <c r="B1039" s="374">
        <v>200</v>
      </c>
      <c r="C1039" s="372" t="s">
        <v>687</v>
      </c>
      <c r="D1039" s="382">
        <v>1727163</v>
      </c>
      <c r="E1039" s="383">
        <v>0</v>
      </c>
      <c r="F1039" s="384">
        <v>1727163</v>
      </c>
      <c r="G1039" s="71" t="str">
        <f t="shared" si="17"/>
        <v>310</v>
      </c>
    </row>
    <row r="1040" spans="1:7" ht="22.5">
      <c r="A1040" s="370" t="s">
        <v>1074</v>
      </c>
      <c r="B1040" s="371">
        <v>200</v>
      </c>
      <c r="C1040" s="369" t="s">
        <v>686</v>
      </c>
      <c r="D1040" s="385">
        <v>1727163</v>
      </c>
      <c r="E1040" s="380">
        <v>0</v>
      </c>
      <c r="F1040" s="386">
        <v>1727163</v>
      </c>
      <c r="G1040" s="71" t="str">
        <f t="shared" si="17"/>
        <v>313</v>
      </c>
    </row>
    <row r="1041" spans="1:7" ht="12.75">
      <c r="A1041" s="373" t="s">
        <v>600</v>
      </c>
      <c r="B1041" s="374">
        <v>200</v>
      </c>
      <c r="C1041" s="372" t="s">
        <v>2441</v>
      </c>
      <c r="D1041" s="382">
        <v>270000</v>
      </c>
      <c r="E1041" s="383">
        <v>267841.55</v>
      </c>
      <c r="F1041" s="384">
        <v>2158.45</v>
      </c>
      <c r="G1041" s="71" t="str">
        <f t="shared" si="17"/>
        <v>000</v>
      </c>
    </row>
    <row r="1042" spans="1:7" ht="33.75">
      <c r="A1042" s="373" t="s">
        <v>1410</v>
      </c>
      <c r="B1042" s="374">
        <v>200</v>
      </c>
      <c r="C1042" s="372" t="s">
        <v>2442</v>
      </c>
      <c r="D1042" s="382">
        <v>270000</v>
      </c>
      <c r="E1042" s="383">
        <v>267841.55</v>
      </c>
      <c r="F1042" s="384">
        <v>2158.45</v>
      </c>
      <c r="G1042" s="71" t="str">
        <f t="shared" si="17"/>
        <v>000</v>
      </c>
    </row>
    <row r="1043" spans="1:7" ht="33.75">
      <c r="A1043" s="373" t="s">
        <v>1783</v>
      </c>
      <c r="B1043" s="374">
        <v>200</v>
      </c>
      <c r="C1043" s="372" t="s">
        <v>2443</v>
      </c>
      <c r="D1043" s="382">
        <v>270000</v>
      </c>
      <c r="E1043" s="383">
        <v>267841.55</v>
      </c>
      <c r="F1043" s="384">
        <v>2158.45</v>
      </c>
      <c r="G1043" s="71" t="str">
        <f t="shared" si="17"/>
        <v>000</v>
      </c>
    </row>
    <row r="1044" spans="1:7" ht="22.5">
      <c r="A1044" s="373" t="s">
        <v>411</v>
      </c>
      <c r="B1044" s="374">
        <v>200</v>
      </c>
      <c r="C1044" s="372" t="s">
        <v>2444</v>
      </c>
      <c r="D1044" s="382">
        <v>6330</v>
      </c>
      <c r="E1044" s="383">
        <v>4171.55</v>
      </c>
      <c r="F1044" s="384">
        <v>2158.45</v>
      </c>
      <c r="G1044" s="71" t="str">
        <f t="shared" si="17"/>
        <v>200</v>
      </c>
    </row>
    <row r="1045" spans="1:7" ht="22.5">
      <c r="A1045" s="373" t="s">
        <v>38</v>
      </c>
      <c r="B1045" s="374">
        <v>200</v>
      </c>
      <c r="C1045" s="372" t="s">
        <v>2445</v>
      </c>
      <c r="D1045" s="382">
        <v>6330</v>
      </c>
      <c r="E1045" s="383">
        <v>4171.55</v>
      </c>
      <c r="F1045" s="384">
        <v>2158.45</v>
      </c>
      <c r="G1045" s="71" t="str">
        <f t="shared" si="17"/>
        <v>240</v>
      </c>
    </row>
    <row r="1046" spans="1:7" ht="12.75">
      <c r="A1046" s="370" t="s">
        <v>1658</v>
      </c>
      <c r="B1046" s="371">
        <v>200</v>
      </c>
      <c r="C1046" s="369" t="s">
        <v>2446</v>
      </c>
      <c r="D1046" s="385">
        <v>6330</v>
      </c>
      <c r="E1046" s="380">
        <v>4171.55</v>
      </c>
      <c r="F1046" s="386">
        <v>2158.45</v>
      </c>
      <c r="G1046" s="71" t="str">
        <f t="shared" si="17"/>
        <v>244</v>
      </c>
    </row>
    <row r="1047" spans="1:7" ht="12.75">
      <c r="A1047" s="373" t="s">
        <v>43</v>
      </c>
      <c r="B1047" s="374">
        <v>200</v>
      </c>
      <c r="C1047" s="372" t="s">
        <v>2447</v>
      </c>
      <c r="D1047" s="382">
        <v>263670</v>
      </c>
      <c r="E1047" s="383">
        <v>263670</v>
      </c>
      <c r="F1047" s="384">
        <v>0</v>
      </c>
      <c r="G1047" s="71" t="str">
        <f t="shared" si="17"/>
        <v>300</v>
      </c>
    </row>
    <row r="1048" spans="1:7" ht="22.5">
      <c r="A1048" s="373" t="s">
        <v>44</v>
      </c>
      <c r="B1048" s="374">
        <v>200</v>
      </c>
      <c r="C1048" s="372" t="s">
        <v>2448</v>
      </c>
      <c r="D1048" s="382">
        <v>263670</v>
      </c>
      <c r="E1048" s="383">
        <v>263670</v>
      </c>
      <c r="F1048" s="384">
        <v>0</v>
      </c>
      <c r="G1048" s="71" t="str">
        <f t="shared" si="17"/>
        <v>320</v>
      </c>
    </row>
    <row r="1049" spans="1:7" ht="22.5">
      <c r="A1049" s="370" t="s">
        <v>1075</v>
      </c>
      <c r="B1049" s="371">
        <v>200</v>
      </c>
      <c r="C1049" s="369" t="s">
        <v>2449</v>
      </c>
      <c r="D1049" s="385">
        <v>263670</v>
      </c>
      <c r="E1049" s="380">
        <v>263670</v>
      </c>
      <c r="F1049" s="386">
        <v>0</v>
      </c>
      <c r="G1049" s="71" t="str">
        <f t="shared" si="17"/>
        <v>321</v>
      </c>
    </row>
    <row r="1050" spans="1:7" ht="12.75">
      <c r="A1050" s="373" t="s">
        <v>1361</v>
      </c>
      <c r="B1050" s="374">
        <v>200</v>
      </c>
      <c r="C1050" s="372" t="s">
        <v>1003</v>
      </c>
      <c r="D1050" s="382">
        <v>50061450</v>
      </c>
      <c r="E1050" s="383">
        <v>48958001.48</v>
      </c>
      <c r="F1050" s="384">
        <v>1103448.52</v>
      </c>
      <c r="G1050" s="71" t="str">
        <f t="shared" si="17"/>
        <v>000</v>
      </c>
    </row>
    <row r="1051" spans="1:7" ht="12.75">
      <c r="A1051" s="373" t="s">
        <v>243</v>
      </c>
      <c r="B1051" s="374">
        <v>200</v>
      </c>
      <c r="C1051" s="372" t="s">
        <v>1004</v>
      </c>
      <c r="D1051" s="382">
        <v>50061450</v>
      </c>
      <c r="E1051" s="383">
        <v>48958001.48</v>
      </c>
      <c r="F1051" s="384">
        <v>1103448.52</v>
      </c>
      <c r="G1051" s="71" t="str">
        <f t="shared" si="17"/>
        <v>000</v>
      </c>
    </row>
    <row r="1052" spans="1:7" ht="22.5">
      <c r="A1052" s="373" t="s">
        <v>648</v>
      </c>
      <c r="B1052" s="374">
        <v>200</v>
      </c>
      <c r="C1052" s="372" t="s">
        <v>1005</v>
      </c>
      <c r="D1052" s="382">
        <v>50061450</v>
      </c>
      <c r="E1052" s="383">
        <v>48958001.48</v>
      </c>
      <c r="F1052" s="384">
        <v>1103448.52</v>
      </c>
      <c r="G1052" s="71" t="str">
        <f aca="true" t="shared" si="18" ref="G1052:G1113">RIGHT(C1052,3)</f>
        <v>000</v>
      </c>
    </row>
    <row r="1053" spans="1:7" ht="33.75">
      <c r="A1053" s="373" t="s">
        <v>36</v>
      </c>
      <c r="B1053" s="374">
        <v>200</v>
      </c>
      <c r="C1053" s="372" t="s">
        <v>1006</v>
      </c>
      <c r="D1053" s="382">
        <v>44478125</v>
      </c>
      <c r="E1053" s="383">
        <v>43891089.41</v>
      </c>
      <c r="F1053" s="384">
        <v>587035.59</v>
      </c>
      <c r="G1053" s="71" t="str">
        <f t="shared" si="18"/>
        <v>100</v>
      </c>
    </row>
    <row r="1054" spans="1:7" ht="12.75">
      <c r="A1054" s="373" t="s">
        <v>37</v>
      </c>
      <c r="B1054" s="374">
        <v>200</v>
      </c>
      <c r="C1054" s="372" t="s">
        <v>1007</v>
      </c>
      <c r="D1054" s="382">
        <v>44478125</v>
      </c>
      <c r="E1054" s="383">
        <v>43891089.41</v>
      </c>
      <c r="F1054" s="384">
        <v>587035.59</v>
      </c>
      <c r="G1054" s="71" t="str">
        <f t="shared" si="18"/>
        <v>120</v>
      </c>
    </row>
    <row r="1055" spans="1:7" ht="12.75">
      <c r="A1055" s="370" t="s">
        <v>1317</v>
      </c>
      <c r="B1055" s="371">
        <v>200</v>
      </c>
      <c r="C1055" s="369" t="s">
        <v>1008</v>
      </c>
      <c r="D1055" s="385">
        <v>33731667.1</v>
      </c>
      <c r="E1055" s="380">
        <v>33606016.45</v>
      </c>
      <c r="F1055" s="386">
        <v>125650.65</v>
      </c>
      <c r="G1055" s="71" t="str">
        <f t="shared" si="18"/>
        <v>121</v>
      </c>
    </row>
    <row r="1056" spans="1:7" ht="22.5">
      <c r="A1056" s="370" t="s">
        <v>244</v>
      </c>
      <c r="B1056" s="371">
        <v>200</v>
      </c>
      <c r="C1056" s="369" t="s">
        <v>453</v>
      </c>
      <c r="D1056" s="385">
        <v>1159892</v>
      </c>
      <c r="E1056" s="380">
        <v>938525.91</v>
      </c>
      <c r="F1056" s="386">
        <v>221366.09</v>
      </c>
      <c r="G1056" s="71" t="str">
        <f t="shared" si="18"/>
        <v>122</v>
      </c>
    </row>
    <row r="1057" spans="1:7" ht="33.75">
      <c r="A1057" s="370" t="s">
        <v>1318</v>
      </c>
      <c r="B1057" s="371">
        <v>200</v>
      </c>
      <c r="C1057" s="369" t="s">
        <v>362</v>
      </c>
      <c r="D1057" s="385">
        <v>9586565.9</v>
      </c>
      <c r="E1057" s="380">
        <v>9346547.05</v>
      </c>
      <c r="F1057" s="386">
        <v>240018.85</v>
      </c>
      <c r="G1057" s="71" t="str">
        <f t="shared" si="18"/>
        <v>129</v>
      </c>
    </row>
    <row r="1058" spans="1:7" ht="22.5">
      <c r="A1058" s="373" t="s">
        <v>411</v>
      </c>
      <c r="B1058" s="374">
        <v>200</v>
      </c>
      <c r="C1058" s="372" t="s">
        <v>363</v>
      </c>
      <c r="D1058" s="382">
        <v>5582325</v>
      </c>
      <c r="E1058" s="383">
        <v>5065912.07</v>
      </c>
      <c r="F1058" s="384">
        <v>516412.93</v>
      </c>
      <c r="G1058" s="71" t="str">
        <f t="shared" si="18"/>
        <v>200</v>
      </c>
    </row>
    <row r="1059" spans="1:7" ht="22.5">
      <c r="A1059" s="373" t="s">
        <v>38</v>
      </c>
      <c r="B1059" s="374">
        <v>200</v>
      </c>
      <c r="C1059" s="372" t="s">
        <v>364</v>
      </c>
      <c r="D1059" s="382">
        <v>5582325</v>
      </c>
      <c r="E1059" s="383">
        <v>5065912.07</v>
      </c>
      <c r="F1059" s="384">
        <v>516412.93</v>
      </c>
      <c r="G1059" s="71" t="str">
        <f t="shared" si="18"/>
        <v>240</v>
      </c>
    </row>
    <row r="1060" spans="1:7" ht="12.75">
      <c r="A1060" s="370" t="s">
        <v>1658</v>
      </c>
      <c r="B1060" s="371">
        <v>200</v>
      </c>
      <c r="C1060" s="369" t="s">
        <v>365</v>
      </c>
      <c r="D1060" s="385">
        <v>5582325</v>
      </c>
      <c r="E1060" s="380">
        <v>5065912.07</v>
      </c>
      <c r="F1060" s="386">
        <v>516412.93</v>
      </c>
      <c r="G1060" s="71" t="str">
        <f t="shared" si="18"/>
        <v>244</v>
      </c>
    </row>
    <row r="1061" spans="1:7" ht="12.75">
      <c r="A1061" s="373" t="s">
        <v>39</v>
      </c>
      <c r="B1061" s="374">
        <v>200</v>
      </c>
      <c r="C1061" s="372" t="s">
        <v>2246</v>
      </c>
      <c r="D1061" s="382">
        <v>1000</v>
      </c>
      <c r="E1061" s="383">
        <v>1000</v>
      </c>
      <c r="F1061" s="384">
        <v>0</v>
      </c>
      <c r="G1061" s="71" t="str">
        <f t="shared" si="18"/>
        <v>800</v>
      </c>
    </row>
    <row r="1062" spans="1:7" ht="12.75">
      <c r="A1062" s="373" t="s">
        <v>40</v>
      </c>
      <c r="B1062" s="374">
        <v>200</v>
      </c>
      <c r="C1062" s="372" t="s">
        <v>2247</v>
      </c>
      <c r="D1062" s="382">
        <v>1000</v>
      </c>
      <c r="E1062" s="383">
        <v>1000</v>
      </c>
      <c r="F1062" s="384">
        <v>0</v>
      </c>
      <c r="G1062" s="71" t="str">
        <f t="shared" si="18"/>
        <v>850</v>
      </c>
    </row>
    <row r="1063" spans="1:7" ht="12.75">
      <c r="A1063" s="370" t="s">
        <v>1375</v>
      </c>
      <c r="B1063" s="371">
        <v>200</v>
      </c>
      <c r="C1063" s="369" t="s">
        <v>2248</v>
      </c>
      <c r="D1063" s="385">
        <v>1000</v>
      </c>
      <c r="E1063" s="380">
        <v>1000</v>
      </c>
      <c r="F1063" s="386">
        <v>0</v>
      </c>
      <c r="G1063" s="71" t="str">
        <f t="shared" si="18"/>
        <v>853</v>
      </c>
    </row>
    <row r="1064" spans="1:7" ht="22.5">
      <c r="A1064" s="373" t="s">
        <v>366</v>
      </c>
      <c r="B1064" s="374">
        <v>200</v>
      </c>
      <c r="C1064" s="372" t="s">
        <v>367</v>
      </c>
      <c r="D1064" s="382">
        <v>100695868.89</v>
      </c>
      <c r="E1064" s="383">
        <v>100688817.11</v>
      </c>
      <c r="F1064" s="384">
        <v>7051.78</v>
      </c>
      <c r="G1064" s="71" t="str">
        <f t="shared" si="18"/>
        <v>000</v>
      </c>
    </row>
    <row r="1065" spans="1:7" ht="12.75">
      <c r="A1065" s="373" t="s">
        <v>94</v>
      </c>
      <c r="B1065" s="374">
        <v>200</v>
      </c>
      <c r="C1065" s="372" t="s">
        <v>368</v>
      </c>
      <c r="D1065" s="382">
        <v>92105868.89</v>
      </c>
      <c r="E1065" s="383">
        <v>92098817.11</v>
      </c>
      <c r="F1065" s="384">
        <v>7051.78</v>
      </c>
      <c r="G1065" s="71" t="str">
        <f t="shared" si="18"/>
        <v>000</v>
      </c>
    </row>
    <row r="1066" spans="1:7" ht="12.75">
      <c r="A1066" s="373" t="s">
        <v>1405</v>
      </c>
      <c r="B1066" s="374">
        <v>200</v>
      </c>
      <c r="C1066" s="372" t="s">
        <v>369</v>
      </c>
      <c r="D1066" s="382">
        <v>92105868.89</v>
      </c>
      <c r="E1066" s="383">
        <v>92098817.11</v>
      </c>
      <c r="F1066" s="384">
        <v>7051.78</v>
      </c>
      <c r="G1066" s="71" t="str">
        <f t="shared" si="18"/>
        <v>000</v>
      </c>
    </row>
    <row r="1067" spans="1:7" ht="12.75">
      <c r="A1067" s="373" t="s">
        <v>243</v>
      </c>
      <c r="B1067" s="374">
        <v>200</v>
      </c>
      <c r="C1067" s="372" t="s">
        <v>370</v>
      </c>
      <c r="D1067" s="382">
        <v>92105868.89</v>
      </c>
      <c r="E1067" s="383">
        <v>92098817.11</v>
      </c>
      <c r="F1067" s="384">
        <v>7051.78</v>
      </c>
      <c r="G1067" s="71" t="str">
        <f t="shared" si="18"/>
        <v>000</v>
      </c>
    </row>
    <row r="1068" spans="1:7" ht="12.75">
      <c r="A1068" s="373" t="s">
        <v>1299</v>
      </c>
      <c r="B1068" s="374">
        <v>200</v>
      </c>
      <c r="C1068" s="372" t="s">
        <v>371</v>
      </c>
      <c r="D1068" s="382">
        <v>18633383.82</v>
      </c>
      <c r="E1068" s="383">
        <v>18633383.82</v>
      </c>
      <c r="F1068" s="384">
        <v>0</v>
      </c>
      <c r="G1068" s="71" t="str">
        <f t="shared" si="18"/>
        <v>000</v>
      </c>
    </row>
    <row r="1069" spans="1:7" ht="33.75">
      <c r="A1069" s="373" t="s">
        <v>36</v>
      </c>
      <c r="B1069" s="374">
        <v>200</v>
      </c>
      <c r="C1069" s="372" t="s">
        <v>372</v>
      </c>
      <c r="D1069" s="382">
        <v>16907680.16</v>
      </c>
      <c r="E1069" s="383">
        <v>16907680.16</v>
      </c>
      <c r="F1069" s="384">
        <v>0</v>
      </c>
      <c r="G1069" s="71" t="str">
        <f t="shared" si="18"/>
        <v>100</v>
      </c>
    </row>
    <row r="1070" spans="1:7" ht="12.75">
      <c r="A1070" s="373" t="s">
        <v>37</v>
      </c>
      <c r="B1070" s="374">
        <v>200</v>
      </c>
      <c r="C1070" s="372" t="s">
        <v>373</v>
      </c>
      <c r="D1070" s="382">
        <v>16907680.16</v>
      </c>
      <c r="E1070" s="383">
        <v>16907680.16</v>
      </c>
      <c r="F1070" s="384">
        <v>0</v>
      </c>
      <c r="G1070" s="71" t="str">
        <f t="shared" si="18"/>
        <v>120</v>
      </c>
    </row>
    <row r="1071" spans="1:7" ht="12.75">
      <c r="A1071" s="370" t="s">
        <v>1317</v>
      </c>
      <c r="B1071" s="371">
        <v>200</v>
      </c>
      <c r="C1071" s="369" t="s">
        <v>374</v>
      </c>
      <c r="D1071" s="385">
        <v>12133733.41</v>
      </c>
      <c r="E1071" s="380">
        <v>12133733.41</v>
      </c>
      <c r="F1071" s="386">
        <v>0</v>
      </c>
      <c r="G1071" s="71" t="str">
        <f t="shared" si="18"/>
        <v>121</v>
      </c>
    </row>
    <row r="1072" spans="1:7" ht="22.5">
      <c r="A1072" s="370" t="s">
        <v>244</v>
      </c>
      <c r="B1072" s="371">
        <v>200</v>
      </c>
      <c r="C1072" s="369" t="s">
        <v>375</v>
      </c>
      <c r="D1072" s="385">
        <v>1240881.56</v>
      </c>
      <c r="E1072" s="380">
        <v>1240881.56</v>
      </c>
      <c r="F1072" s="386">
        <v>0</v>
      </c>
      <c r="G1072" s="71" t="str">
        <f t="shared" si="18"/>
        <v>122</v>
      </c>
    </row>
    <row r="1073" spans="1:7" ht="33.75">
      <c r="A1073" s="370" t="s">
        <v>1318</v>
      </c>
      <c r="B1073" s="371">
        <v>200</v>
      </c>
      <c r="C1073" s="369" t="s">
        <v>376</v>
      </c>
      <c r="D1073" s="385">
        <v>3533065.19</v>
      </c>
      <c r="E1073" s="380">
        <v>3533065.19</v>
      </c>
      <c r="F1073" s="386">
        <v>0</v>
      </c>
      <c r="G1073" s="71" t="str">
        <f t="shared" si="18"/>
        <v>129</v>
      </c>
    </row>
    <row r="1074" spans="1:7" ht="22.5">
      <c r="A1074" s="373" t="s">
        <v>411</v>
      </c>
      <c r="B1074" s="374">
        <v>200</v>
      </c>
      <c r="C1074" s="372" t="s">
        <v>377</v>
      </c>
      <c r="D1074" s="382">
        <v>1725483.16</v>
      </c>
      <c r="E1074" s="383">
        <v>1725483.16</v>
      </c>
      <c r="F1074" s="384">
        <v>0</v>
      </c>
      <c r="G1074" s="71" t="str">
        <f t="shared" si="18"/>
        <v>200</v>
      </c>
    </row>
    <row r="1075" spans="1:7" ht="22.5">
      <c r="A1075" s="373" t="s">
        <v>38</v>
      </c>
      <c r="B1075" s="374">
        <v>200</v>
      </c>
      <c r="C1075" s="372" t="s">
        <v>378</v>
      </c>
      <c r="D1075" s="382">
        <v>1725483.16</v>
      </c>
      <c r="E1075" s="383">
        <v>1725483.16</v>
      </c>
      <c r="F1075" s="384">
        <v>0</v>
      </c>
      <c r="G1075" s="71" t="str">
        <f t="shared" si="18"/>
        <v>240</v>
      </c>
    </row>
    <row r="1076" spans="1:7" ht="12.75">
      <c r="A1076" s="370" t="s">
        <v>1658</v>
      </c>
      <c r="B1076" s="371">
        <v>200</v>
      </c>
      <c r="C1076" s="369" t="s">
        <v>379</v>
      </c>
      <c r="D1076" s="385">
        <v>1725483.16</v>
      </c>
      <c r="E1076" s="380">
        <v>1725483.16</v>
      </c>
      <c r="F1076" s="386">
        <v>0</v>
      </c>
      <c r="G1076" s="71" t="str">
        <f t="shared" si="18"/>
        <v>244</v>
      </c>
    </row>
    <row r="1077" spans="1:7" ht="12.75">
      <c r="A1077" s="373" t="s">
        <v>39</v>
      </c>
      <c r="B1077" s="374">
        <v>200</v>
      </c>
      <c r="C1077" s="372" t="s">
        <v>380</v>
      </c>
      <c r="D1077" s="382">
        <v>220.5</v>
      </c>
      <c r="E1077" s="383">
        <v>220.5</v>
      </c>
      <c r="F1077" s="384">
        <v>0</v>
      </c>
      <c r="G1077" s="71" t="str">
        <f t="shared" si="18"/>
        <v>800</v>
      </c>
    </row>
    <row r="1078" spans="1:7" ht="12.75">
      <c r="A1078" s="373" t="s">
        <v>40</v>
      </c>
      <c r="B1078" s="374">
        <v>200</v>
      </c>
      <c r="C1078" s="372" t="s">
        <v>381</v>
      </c>
      <c r="D1078" s="382">
        <v>220.5</v>
      </c>
      <c r="E1078" s="383">
        <v>220.5</v>
      </c>
      <c r="F1078" s="384">
        <v>0</v>
      </c>
      <c r="G1078" s="71" t="str">
        <f t="shared" si="18"/>
        <v>850</v>
      </c>
    </row>
    <row r="1079" spans="1:7" ht="12.75">
      <c r="A1079" s="370" t="s">
        <v>1375</v>
      </c>
      <c r="B1079" s="371">
        <v>200</v>
      </c>
      <c r="C1079" s="369" t="s">
        <v>454</v>
      </c>
      <c r="D1079" s="385">
        <v>220.5</v>
      </c>
      <c r="E1079" s="380">
        <v>220.5</v>
      </c>
      <c r="F1079" s="386">
        <v>0</v>
      </c>
      <c r="G1079" s="71" t="str">
        <f t="shared" si="18"/>
        <v>853</v>
      </c>
    </row>
    <row r="1080" spans="1:7" ht="45">
      <c r="A1080" s="377" t="s">
        <v>1593</v>
      </c>
      <c r="B1080" s="374">
        <v>200</v>
      </c>
      <c r="C1080" s="372" t="s">
        <v>382</v>
      </c>
      <c r="D1080" s="382">
        <v>1419101.37</v>
      </c>
      <c r="E1080" s="383">
        <v>1417513.04</v>
      </c>
      <c r="F1080" s="384">
        <v>1588.33</v>
      </c>
      <c r="G1080" s="71" t="str">
        <f t="shared" si="18"/>
        <v>000</v>
      </c>
    </row>
    <row r="1081" spans="1:7" ht="33.75">
      <c r="A1081" s="373" t="s">
        <v>36</v>
      </c>
      <c r="B1081" s="374">
        <v>200</v>
      </c>
      <c r="C1081" s="372" t="s">
        <v>383</v>
      </c>
      <c r="D1081" s="382">
        <v>1419101.37</v>
      </c>
      <c r="E1081" s="383">
        <v>1417513.04</v>
      </c>
      <c r="F1081" s="384">
        <v>1588.33</v>
      </c>
      <c r="G1081" s="71" t="str">
        <f t="shared" si="18"/>
        <v>100</v>
      </c>
    </row>
    <row r="1082" spans="1:7" ht="12.75">
      <c r="A1082" s="373" t="s">
        <v>37</v>
      </c>
      <c r="B1082" s="374">
        <v>200</v>
      </c>
      <c r="C1082" s="372" t="s">
        <v>384</v>
      </c>
      <c r="D1082" s="382">
        <v>1419101.37</v>
      </c>
      <c r="E1082" s="383">
        <v>1417513.04</v>
      </c>
      <c r="F1082" s="384">
        <v>1588.33</v>
      </c>
      <c r="G1082" s="71" t="str">
        <f t="shared" si="18"/>
        <v>120</v>
      </c>
    </row>
    <row r="1083" spans="1:7" ht="12.75">
      <c r="A1083" s="370" t="s">
        <v>1317</v>
      </c>
      <c r="B1083" s="371">
        <v>200</v>
      </c>
      <c r="C1083" s="369" t="s">
        <v>385</v>
      </c>
      <c r="D1083" s="385">
        <v>1101948.43</v>
      </c>
      <c r="E1083" s="380">
        <v>1100360.1</v>
      </c>
      <c r="F1083" s="386">
        <v>1588.33</v>
      </c>
      <c r="G1083" s="71" t="str">
        <f t="shared" si="18"/>
        <v>121</v>
      </c>
    </row>
    <row r="1084" spans="1:7" ht="33.75">
      <c r="A1084" s="370" t="s">
        <v>1318</v>
      </c>
      <c r="B1084" s="371">
        <v>200</v>
      </c>
      <c r="C1084" s="369" t="s">
        <v>386</v>
      </c>
      <c r="D1084" s="385">
        <v>317152.94</v>
      </c>
      <c r="E1084" s="380">
        <v>317152.94</v>
      </c>
      <c r="F1084" s="386">
        <v>0</v>
      </c>
      <c r="G1084" s="71" t="str">
        <f t="shared" si="18"/>
        <v>129</v>
      </c>
    </row>
    <row r="1085" spans="1:7" ht="22.5">
      <c r="A1085" s="373" t="s">
        <v>649</v>
      </c>
      <c r="B1085" s="374">
        <v>200</v>
      </c>
      <c r="C1085" s="372" t="s">
        <v>387</v>
      </c>
      <c r="D1085" s="382">
        <v>6673975.51</v>
      </c>
      <c r="E1085" s="383">
        <v>6668512.06</v>
      </c>
      <c r="F1085" s="384">
        <v>5463.45</v>
      </c>
      <c r="G1085" s="71" t="str">
        <f t="shared" si="18"/>
        <v>000</v>
      </c>
    </row>
    <row r="1086" spans="1:7" ht="22.5">
      <c r="A1086" s="373" t="s">
        <v>411</v>
      </c>
      <c r="B1086" s="374">
        <v>200</v>
      </c>
      <c r="C1086" s="372" t="s">
        <v>388</v>
      </c>
      <c r="D1086" s="382">
        <v>6673975.51</v>
      </c>
      <c r="E1086" s="383">
        <v>6668512.06</v>
      </c>
      <c r="F1086" s="384">
        <v>5463.45</v>
      </c>
      <c r="G1086" s="71" t="str">
        <f t="shared" si="18"/>
        <v>200</v>
      </c>
    </row>
    <row r="1087" spans="1:7" ht="22.5">
      <c r="A1087" s="373" t="s">
        <v>38</v>
      </c>
      <c r="B1087" s="374">
        <v>200</v>
      </c>
      <c r="C1087" s="372" t="s">
        <v>389</v>
      </c>
      <c r="D1087" s="382">
        <v>6673975.51</v>
      </c>
      <c r="E1087" s="383">
        <v>6668512.06</v>
      </c>
      <c r="F1087" s="384">
        <v>5463.45</v>
      </c>
      <c r="G1087" s="71" t="str">
        <f t="shared" si="18"/>
        <v>240</v>
      </c>
    </row>
    <row r="1088" spans="1:7" ht="12.75">
      <c r="A1088" s="370" t="s">
        <v>1658</v>
      </c>
      <c r="B1088" s="371">
        <v>200</v>
      </c>
      <c r="C1088" s="369" t="s">
        <v>390</v>
      </c>
      <c r="D1088" s="385">
        <v>6673975.51</v>
      </c>
      <c r="E1088" s="380">
        <v>6668512.06</v>
      </c>
      <c r="F1088" s="386">
        <v>5463.45</v>
      </c>
      <c r="G1088" s="71" t="str">
        <f t="shared" si="18"/>
        <v>244</v>
      </c>
    </row>
    <row r="1089" spans="1:7" ht="12.75">
      <c r="A1089" s="373" t="s">
        <v>1154</v>
      </c>
      <c r="B1089" s="374">
        <v>200</v>
      </c>
      <c r="C1089" s="372" t="s">
        <v>1418</v>
      </c>
      <c r="D1089" s="382">
        <v>63765284</v>
      </c>
      <c r="E1089" s="383">
        <v>63765284</v>
      </c>
      <c r="F1089" s="384">
        <v>0</v>
      </c>
      <c r="G1089" s="71" t="str">
        <f t="shared" si="18"/>
        <v>000</v>
      </c>
    </row>
    <row r="1090" spans="1:7" ht="22.5">
      <c r="A1090" s="373" t="s">
        <v>411</v>
      </c>
      <c r="B1090" s="374">
        <v>200</v>
      </c>
      <c r="C1090" s="372" t="s">
        <v>2450</v>
      </c>
      <c r="D1090" s="382">
        <v>23000000</v>
      </c>
      <c r="E1090" s="383">
        <v>23000000</v>
      </c>
      <c r="F1090" s="384">
        <v>0</v>
      </c>
      <c r="G1090" s="71" t="str">
        <f t="shared" si="18"/>
        <v>200</v>
      </c>
    </row>
    <row r="1091" spans="1:7" ht="22.5">
      <c r="A1091" s="373" t="s">
        <v>38</v>
      </c>
      <c r="B1091" s="374">
        <v>200</v>
      </c>
      <c r="C1091" s="372" t="s">
        <v>2451</v>
      </c>
      <c r="D1091" s="382">
        <v>23000000</v>
      </c>
      <c r="E1091" s="383">
        <v>23000000</v>
      </c>
      <c r="F1091" s="384">
        <v>0</v>
      </c>
      <c r="G1091" s="71" t="str">
        <f t="shared" si="18"/>
        <v>240</v>
      </c>
    </row>
    <row r="1092" spans="1:7" ht="12.75">
      <c r="A1092" s="370" t="s">
        <v>1658</v>
      </c>
      <c r="B1092" s="371">
        <v>200</v>
      </c>
      <c r="C1092" s="369" t="s">
        <v>2452</v>
      </c>
      <c r="D1092" s="385">
        <v>23000000</v>
      </c>
      <c r="E1092" s="380">
        <v>23000000</v>
      </c>
      <c r="F1092" s="386">
        <v>0</v>
      </c>
      <c r="G1092" s="71" t="str">
        <f t="shared" si="18"/>
        <v>244</v>
      </c>
    </row>
    <row r="1093" spans="1:7" ht="22.5">
      <c r="A1093" s="373" t="s">
        <v>1159</v>
      </c>
      <c r="B1093" s="374">
        <v>200</v>
      </c>
      <c r="C1093" s="372" t="s">
        <v>1419</v>
      </c>
      <c r="D1093" s="382">
        <v>40765284</v>
      </c>
      <c r="E1093" s="383">
        <v>40765284</v>
      </c>
      <c r="F1093" s="384">
        <v>0</v>
      </c>
      <c r="G1093" s="71" t="str">
        <f t="shared" si="18"/>
        <v>400</v>
      </c>
    </row>
    <row r="1094" spans="1:7" ht="12.75">
      <c r="A1094" s="373" t="s">
        <v>1160</v>
      </c>
      <c r="B1094" s="374">
        <v>200</v>
      </c>
      <c r="C1094" s="372" t="s">
        <v>679</v>
      </c>
      <c r="D1094" s="382">
        <v>40765284</v>
      </c>
      <c r="E1094" s="383">
        <v>40765284</v>
      </c>
      <c r="F1094" s="384">
        <v>0</v>
      </c>
      <c r="G1094" s="71" t="str">
        <f t="shared" si="18"/>
        <v>410</v>
      </c>
    </row>
    <row r="1095" spans="1:7" ht="22.5">
      <c r="A1095" s="370" t="s">
        <v>1155</v>
      </c>
      <c r="B1095" s="371">
        <v>200</v>
      </c>
      <c r="C1095" s="369" t="s">
        <v>680</v>
      </c>
      <c r="D1095" s="385">
        <v>40765284</v>
      </c>
      <c r="E1095" s="380">
        <v>40765284</v>
      </c>
      <c r="F1095" s="386">
        <v>0</v>
      </c>
      <c r="G1095" s="71" t="str">
        <f t="shared" si="18"/>
        <v>412</v>
      </c>
    </row>
    <row r="1096" spans="1:7" ht="33.75">
      <c r="A1096" s="373" t="s">
        <v>2254</v>
      </c>
      <c r="B1096" s="374">
        <v>200</v>
      </c>
      <c r="C1096" s="372" t="s">
        <v>2321</v>
      </c>
      <c r="D1096" s="382">
        <v>974086.19</v>
      </c>
      <c r="E1096" s="383">
        <v>974086.19</v>
      </c>
      <c r="F1096" s="384">
        <v>0</v>
      </c>
      <c r="G1096" s="71" t="str">
        <f t="shared" si="18"/>
        <v>000</v>
      </c>
    </row>
    <row r="1097" spans="1:7" ht="33.75">
      <c r="A1097" s="373" t="s">
        <v>36</v>
      </c>
      <c r="B1097" s="374">
        <v>200</v>
      </c>
      <c r="C1097" s="372" t="s">
        <v>2322</v>
      </c>
      <c r="D1097" s="382">
        <v>974086.19</v>
      </c>
      <c r="E1097" s="383">
        <v>974086.19</v>
      </c>
      <c r="F1097" s="384">
        <v>0</v>
      </c>
      <c r="G1097" s="71" t="str">
        <f t="shared" si="18"/>
        <v>100</v>
      </c>
    </row>
    <row r="1098" spans="1:7" ht="12.75">
      <c r="A1098" s="373" t="s">
        <v>37</v>
      </c>
      <c r="B1098" s="374">
        <v>200</v>
      </c>
      <c r="C1098" s="372" t="s">
        <v>2323</v>
      </c>
      <c r="D1098" s="382">
        <v>974086.19</v>
      </c>
      <c r="E1098" s="383">
        <v>974086.19</v>
      </c>
      <c r="F1098" s="384">
        <v>0</v>
      </c>
      <c r="G1098" s="71" t="str">
        <f t="shared" si="18"/>
        <v>120</v>
      </c>
    </row>
    <row r="1099" spans="1:7" ht="12.75">
      <c r="A1099" s="370" t="s">
        <v>1317</v>
      </c>
      <c r="B1099" s="371">
        <v>200</v>
      </c>
      <c r="C1099" s="369" t="s">
        <v>2324</v>
      </c>
      <c r="D1099" s="385">
        <v>768087.53</v>
      </c>
      <c r="E1099" s="380">
        <v>768087.53</v>
      </c>
      <c r="F1099" s="386">
        <v>0</v>
      </c>
      <c r="G1099" s="71" t="str">
        <f t="shared" si="18"/>
        <v>121</v>
      </c>
    </row>
    <row r="1100" spans="1:7" ht="33.75">
      <c r="A1100" s="370" t="s">
        <v>1318</v>
      </c>
      <c r="B1100" s="371">
        <v>200</v>
      </c>
      <c r="C1100" s="369" t="s">
        <v>2325</v>
      </c>
      <c r="D1100" s="385">
        <v>205998.66</v>
      </c>
      <c r="E1100" s="380">
        <v>205998.66</v>
      </c>
      <c r="F1100" s="386">
        <v>0</v>
      </c>
      <c r="G1100" s="71" t="str">
        <f t="shared" si="18"/>
        <v>129</v>
      </c>
    </row>
    <row r="1101" spans="1:7" ht="22.5">
      <c r="A1101" s="373" t="s">
        <v>1811</v>
      </c>
      <c r="B1101" s="374">
        <v>200</v>
      </c>
      <c r="C1101" s="372" t="s">
        <v>1895</v>
      </c>
      <c r="D1101" s="382">
        <v>640038</v>
      </c>
      <c r="E1101" s="383">
        <v>640038</v>
      </c>
      <c r="F1101" s="384">
        <v>0</v>
      </c>
      <c r="G1101" s="71" t="str">
        <f t="shared" si="18"/>
        <v>000</v>
      </c>
    </row>
    <row r="1102" spans="1:7" ht="33.75">
      <c r="A1102" s="373" t="s">
        <v>36</v>
      </c>
      <c r="B1102" s="374">
        <v>200</v>
      </c>
      <c r="C1102" s="372" t="s">
        <v>1896</v>
      </c>
      <c r="D1102" s="382">
        <v>640038</v>
      </c>
      <c r="E1102" s="383">
        <v>640038</v>
      </c>
      <c r="F1102" s="384">
        <v>0</v>
      </c>
      <c r="G1102" s="71" t="str">
        <f t="shared" si="18"/>
        <v>100</v>
      </c>
    </row>
    <row r="1103" spans="1:7" ht="12.75">
      <c r="A1103" s="373" t="s">
        <v>37</v>
      </c>
      <c r="B1103" s="374">
        <v>200</v>
      </c>
      <c r="C1103" s="372" t="s">
        <v>1897</v>
      </c>
      <c r="D1103" s="382">
        <v>640038</v>
      </c>
      <c r="E1103" s="383">
        <v>640038</v>
      </c>
      <c r="F1103" s="384">
        <v>0</v>
      </c>
      <c r="G1103" s="71" t="str">
        <f t="shared" si="18"/>
        <v>120</v>
      </c>
    </row>
    <row r="1104" spans="1:7" ht="12.75">
      <c r="A1104" s="370" t="s">
        <v>1317</v>
      </c>
      <c r="B1104" s="371">
        <v>200</v>
      </c>
      <c r="C1104" s="369" t="s">
        <v>1898</v>
      </c>
      <c r="D1104" s="385">
        <v>491580</v>
      </c>
      <c r="E1104" s="380">
        <v>491580</v>
      </c>
      <c r="F1104" s="386">
        <v>0</v>
      </c>
      <c r="G1104" s="71" t="str">
        <f t="shared" si="18"/>
        <v>121</v>
      </c>
    </row>
    <row r="1105" spans="1:7" ht="33.75">
      <c r="A1105" s="370" t="s">
        <v>1318</v>
      </c>
      <c r="B1105" s="371">
        <v>200</v>
      </c>
      <c r="C1105" s="369" t="s">
        <v>1899</v>
      </c>
      <c r="D1105" s="385">
        <v>148458</v>
      </c>
      <c r="E1105" s="380">
        <v>148458</v>
      </c>
      <c r="F1105" s="386">
        <v>0</v>
      </c>
      <c r="G1105" s="71" t="str">
        <f t="shared" si="18"/>
        <v>129</v>
      </c>
    </row>
    <row r="1106" spans="1:7" ht="12.75">
      <c r="A1106" s="373" t="s">
        <v>669</v>
      </c>
      <c r="B1106" s="374">
        <v>200</v>
      </c>
      <c r="C1106" s="372" t="s">
        <v>2053</v>
      </c>
      <c r="D1106" s="382">
        <v>8590000</v>
      </c>
      <c r="E1106" s="383">
        <v>8590000</v>
      </c>
      <c r="F1106" s="384">
        <v>0</v>
      </c>
      <c r="G1106" s="71" t="str">
        <f t="shared" si="18"/>
        <v>000</v>
      </c>
    </row>
    <row r="1107" spans="1:7" ht="12.75">
      <c r="A1107" s="373" t="s">
        <v>604</v>
      </c>
      <c r="B1107" s="374">
        <v>200</v>
      </c>
      <c r="C1107" s="372" t="s">
        <v>2054</v>
      </c>
      <c r="D1107" s="382">
        <v>8590000</v>
      </c>
      <c r="E1107" s="383">
        <v>8590000</v>
      </c>
      <c r="F1107" s="384">
        <v>0</v>
      </c>
      <c r="G1107" s="71" t="str">
        <f t="shared" si="18"/>
        <v>000</v>
      </c>
    </row>
    <row r="1108" spans="1:7" ht="12.75">
      <c r="A1108" s="373" t="s">
        <v>243</v>
      </c>
      <c r="B1108" s="374">
        <v>200</v>
      </c>
      <c r="C1108" s="372" t="s">
        <v>2055</v>
      </c>
      <c r="D1108" s="382">
        <v>8590000</v>
      </c>
      <c r="E1108" s="383">
        <v>8590000</v>
      </c>
      <c r="F1108" s="384">
        <v>0</v>
      </c>
      <c r="G1108" s="71" t="str">
        <f t="shared" si="18"/>
        <v>000</v>
      </c>
    </row>
    <row r="1109" spans="1:7" ht="33.75">
      <c r="A1109" s="373" t="s">
        <v>2056</v>
      </c>
      <c r="B1109" s="374">
        <v>200</v>
      </c>
      <c r="C1109" s="372" t="s">
        <v>2057</v>
      </c>
      <c r="D1109" s="382">
        <v>8590000</v>
      </c>
      <c r="E1109" s="383">
        <v>8590000</v>
      </c>
      <c r="F1109" s="384">
        <v>0</v>
      </c>
      <c r="G1109" s="71" t="str">
        <f t="shared" si="18"/>
        <v>000</v>
      </c>
    </row>
    <row r="1110" spans="1:7" ht="12.75">
      <c r="A1110" s="373" t="s">
        <v>39</v>
      </c>
      <c r="B1110" s="374">
        <v>200</v>
      </c>
      <c r="C1110" s="372" t="s">
        <v>2058</v>
      </c>
      <c r="D1110" s="382">
        <v>8590000</v>
      </c>
      <c r="E1110" s="383">
        <v>8590000</v>
      </c>
      <c r="F1110" s="384">
        <v>0</v>
      </c>
      <c r="G1110" s="71" t="str">
        <f t="shared" si="18"/>
        <v>800</v>
      </c>
    </row>
    <row r="1111" spans="1:7" ht="12.75">
      <c r="A1111" s="373" t="s">
        <v>40</v>
      </c>
      <c r="B1111" s="374">
        <v>200</v>
      </c>
      <c r="C1111" s="372" t="s">
        <v>2059</v>
      </c>
      <c r="D1111" s="382">
        <v>8590000</v>
      </c>
      <c r="E1111" s="383">
        <v>8590000</v>
      </c>
      <c r="F1111" s="384">
        <v>0</v>
      </c>
      <c r="G1111" s="71" t="str">
        <f t="shared" si="18"/>
        <v>850</v>
      </c>
    </row>
    <row r="1112" spans="1:7" ht="12.75">
      <c r="A1112" s="370" t="s">
        <v>1375</v>
      </c>
      <c r="B1112" s="371">
        <v>200</v>
      </c>
      <c r="C1112" s="369" t="s">
        <v>2060</v>
      </c>
      <c r="D1112" s="385">
        <v>8590000</v>
      </c>
      <c r="E1112" s="380">
        <v>8590000</v>
      </c>
      <c r="F1112" s="386">
        <v>0</v>
      </c>
      <c r="G1112" s="71" t="str">
        <f t="shared" si="18"/>
        <v>853</v>
      </c>
    </row>
    <row r="1113" spans="1:7" ht="22.5">
      <c r="A1113" s="373" t="s">
        <v>294</v>
      </c>
      <c r="B1113" s="374">
        <v>200</v>
      </c>
      <c r="C1113" s="372" t="s">
        <v>295</v>
      </c>
      <c r="D1113" s="382">
        <v>3017674159.01</v>
      </c>
      <c r="E1113" s="383">
        <v>2947611836.21</v>
      </c>
      <c r="F1113" s="384">
        <v>70062322.8</v>
      </c>
      <c r="G1113" s="71" t="str">
        <f t="shared" si="18"/>
        <v>000</v>
      </c>
    </row>
    <row r="1114" spans="1:7" ht="12.75">
      <c r="A1114" s="373" t="s">
        <v>1373</v>
      </c>
      <c r="B1114" s="374">
        <v>200</v>
      </c>
      <c r="C1114" s="372" t="s">
        <v>296</v>
      </c>
      <c r="D1114" s="382">
        <v>2899009905.97</v>
      </c>
      <c r="E1114" s="383">
        <v>2835369789.47</v>
      </c>
      <c r="F1114" s="384">
        <v>63640116.5</v>
      </c>
      <c r="G1114" s="71" t="str">
        <f aca="true" t="shared" si="19" ref="G1114:G1177">RIGHT(C1114,3)</f>
        <v>000</v>
      </c>
    </row>
    <row r="1115" spans="1:7" ht="12.75">
      <c r="A1115" s="373" t="s">
        <v>59</v>
      </c>
      <c r="B1115" s="374">
        <v>200</v>
      </c>
      <c r="C1115" s="372" t="s">
        <v>297</v>
      </c>
      <c r="D1115" s="382">
        <v>628032468.07</v>
      </c>
      <c r="E1115" s="383">
        <v>615998530.67</v>
      </c>
      <c r="F1115" s="384">
        <v>12033937.4</v>
      </c>
      <c r="G1115" s="71" t="str">
        <f t="shared" si="19"/>
        <v>000</v>
      </c>
    </row>
    <row r="1116" spans="1:7" ht="33.75">
      <c r="A1116" s="373" t="s">
        <v>1410</v>
      </c>
      <c r="B1116" s="374">
        <v>200</v>
      </c>
      <c r="C1116" s="372" t="s">
        <v>298</v>
      </c>
      <c r="D1116" s="382">
        <v>620356937.67</v>
      </c>
      <c r="E1116" s="383">
        <v>608323000.27</v>
      </c>
      <c r="F1116" s="384">
        <v>12033937.4</v>
      </c>
      <c r="G1116" s="71" t="str">
        <f t="shared" si="19"/>
        <v>000</v>
      </c>
    </row>
    <row r="1117" spans="1:7" ht="22.5">
      <c r="A1117" s="373" t="s">
        <v>644</v>
      </c>
      <c r="B1117" s="374">
        <v>200</v>
      </c>
      <c r="C1117" s="372" t="s">
        <v>299</v>
      </c>
      <c r="D1117" s="382">
        <v>122893883.29</v>
      </c>
      <c r="E1117" s="383">
        <v>112709238.23</v>
      </c>
      <c r="F1117" s="384">
        <v>10184645.06</v>
      </c>
      <c r="G1117" s="71" t="str">
        <f t="shared" si="19"/>
        <v>000</v>
      </c>
    </row>
    <row r="1118" spans="1:7" ht="33.75">
      <c r="A1118" s="373" t="s">
        <v>36</v>
      </c>
      <c r="B1118" s="374">
        <v>200</v>
      </c>
      <c r="C1118" s="372" t="s">
        <v>300</v>
      </c>
      <c r="D1118" s="382">
        <v>46313407.08</v>
      </c>
      <c r="E1118" s="383">
        <v>46313407.08</v>
      </c>
      <c r="F1118" s="384">
        <v>0</v>
      </c>
      <c r="G1118" s="71" t="str">
        <f t="shared" si="19"/>
        <v>100</v>
      </c>
    </row>
    <row r="1119" spans="1:7" ht="12.75">
      <c r="A1119" s="373" t="s">
        <v>41</v>
      </c>
      <c r="B1119" s="374">
        <v>200</v>
      </c>
      <c r="C1119" s="372" t="s">
        <v>301</v>
      </c>
      <c r="D1119" s="382">
        <v>46313407.08</v>
      </c>
      <c r="E1119" s="383">
        <v>46313407.08</v>
      </c>
      <c r="F1119" s="384">
        <v>0</v>
      </c>
      <c r="G1119" s="71" t="str">
        <f t="shared" si="19"/>
        <v>110</v>
      </c>
    </row>
    <row r="1120" spans="1:7" ht="12.75">
      <c r="A1120" s="370" t="s">
        <v>412</v>
      </c>
      <c r="B1120" s="371">
        <v>200</v>
      </c>
      <c r="C1120" s="369" t="s">
        <v>302</v>
      </c>
      <c r="D1120" s="385">
        <v>33532769.89</v>
      </c>
      <c r="E1120" s="380">
        <v>33532769.89</v>
      </c>
      <c r="F1120" s="386">
        <v>0</v>
      </c>
      <c r="G1120" s="71" t="str">
        <f t="shared" si="19"/>
        <v>111</v>
      </c>
    </row>
    <row r="1121" spans="1:7" ht="12.75">
      <c r="A1121" s="370" t="s">
        <v>413</v>
      </c>
      <c r="B1121" s="371">
        <v>200</v>
      </c>
      <c r="C1121" s="369" t="s">
        <v>303</v>
      </c>
      <c r="D1121" s="385">
        <v>2651665.87</v>
      </c>
      <c r="E1121" s="380">
        <v>2651665.87</v>
      </c>
      <c r="F1121" s="386">
        <v>0</v>
      </c>
      <c r="G1121" s="71" t="str">
        <f t="shared" si="19"/>
        <v>112</v>
      </c>
    </row>
    <row r="1122" spans="1:7" ht="22.5">
      <c r="A1122" s="370" t="s">
        <v>414</v>
      </c>
      <c r="B1122" s="371">
        <v>200</v>
      </c>
      <c r="C1122" s="369" t="s">
        <v>304</v>
      </c>
      <c r="D1122" s="385">
        <v>10128971.32</v>
      </c>
      <c r="E1122" s="380">
        <v>10128971.32</v>
      </c>
      <c r="F1122" s="386">
        <v>0</v>
      </c>
      <c r="G1122" s="71" t="str">
        <f t="shared" si="19"/>
        <v>119</v>
      </c>
    </row>
    <row r="1123" spans="1:7" ht="22.5">
      <c r="A1123" s="373" t="s">
        <v>411</v>
      </c>
      <c r="B1123" s="374">
        <v>200</v>
      </c>
      <c r="C1123" s="372" t="s">
        <v>305</v>
      </c>
      <c r="D1123" s="382">
        <v>76385440.91</v>
      </c>
      <c r="E1123" s="383">
        <v>66200795.85</v>
      </c>
      <c r="F1123" s="384">
        <v>10184645.06</v>
      </c>
      <c r="G1123" s="71" t="str">
        <f t="shared" si="19"/>
        <v>200</v>
      </c>
    </row>
    <row r="1124" spans="1:7" ht="22.5">
      <c r="A1124" s="373" t="s">
        <v>38</v>
      </c>
      <c r="B1124" s="374">
        <v>200</v>
      </c>
      <c r="C1124" s="372" t="s">
        <v>306</v>
      </c>
      <c r="D1124" s="382">
        <v>76385440.91</v>
      </c>
      <c r="E1124" s="383">
        <v>66200795.85</v>
      </c>
      <c r="F1124" s="384">
        <v>10184645.06</v>
      </c>
      <c r="G1124" s="71" t="str">
        <f t="shared" si="19"/>
        <v>240</v>
      </c>
    </row>
    <row r="1125" spans="1:7" ht="22.5">
      <c r="A1125" s="370" t="s">
        <v>637</v>
      </c>
      <c r="B1125" s="371">
        <v>200</v>
      </c>
      <c r="C1125" s="369" t="s">
        <v>2120</v>
      </c>
      <c r="D1125" s="385">
        <v>61879.53</v>
      </c>
      <c r="E1125" s="380">
        <v>61879.53</v>
      </c>
      <c r="F1125" s="386">
        <v>0</v>
      </c>
      <c r="G1125" s="71" t="str">
        <f t="shared" si="19"/>
        <v>243</v>
      </c>
    </row>
    <row r="1126" spans="1:7" ht="12.75">
      <c r="A1126" s="370" t="s">
        <v>1658</v>
      </c>
      <c r="B1126" s="371">
        <v>200</v>
      </c>
      <c r="C1126" s="369" t="s">
        <v>307</v>
      </c>
      <c r="D1126" s="385">
        <v>76323561.38</v>
      </c>
      <c r="E1126" s="380">
        <v>66138916.32</v>
      </c>
      <c r="F1126" s="386">
        <v>10184645.06</v>
      </c>
      <c r="G1126" s="71" t="str">
        <f t="shared" si="19"/>
        <v>244</v>
      </c>
    </row>
    <row r="1127" spans="1:7" ht="12.75">
      <c r="A1127" s="373" t="s">
        <v>39</v>
      </c>
      <c r="B1127" s="374">
        <v>200</v>
      </c>
      <c r="C1127" s="372" t="s">
        <v>308</v>
      </c>
      <c r="D1127" s="382">
        <v>195035.3</v>
      </c>
      <c r="E1127" s="383">
        <v>195035.3</v>
      </c>
      <c r="F1127" s="384">
        <v>0</v>
      </c>
      <c r="G1127" s="71" t="str">
        <f t="shared" si="19"/>
        <v>800</v>
      </c>
    </row>
    <row r="1128" spans="1:7" ht="12.75">
      <c r="A1128" s="373" t="s">
        <v>1817</v>
      </c>
      <c r="B1128" s="374">
        <v>200</v>
      </c>
      <c r="C1128" s="372" t="s">
        <v>2121</v>
      </c>
      <c r="D1128" s="382">
        <v>6105.45</v>
      </c>
      <c r="E1128" s="383">
        <v>6105.45</v>
      </c>
      <c r="F1128" s="384">
        <v>0</v>
      </c>
      <c r="G1128" s="71" t="str">
        <f t="shared" si="19"/>
        <v>830</v>
      </c>
    </row>
    <row r="1129" spans="1:7" ht="22.5">
      <c r="A1129" s="370" t="s">
        <v>1819</v>
      </c>
      <c r="B1129" s="371">
        <v>200</v>
      </c>
      <c r="C1129" s="369" t="s">
        <v>2122</v>
      </c>
      <c r="D1129" s="385">
        <v>6105.45</v>
      </c>
      <c r="E1129" s="380">
        <v>6105.45</v>
      </c>
      <c r="F1129" s="386">
        <v>0</v>
      </c>
      <c r="G1129" s="71" t="str">
        <f t="shared" si="19"/>
        <v>831</v>
      </c>
    </row>
    <row r="1130" spans="1:7" ht="12.75">
      <c r="A1130" s="373" t="s">
        <v>40</v>
      </c>
      <c r="B1130" s="374">
        <v>200</v>
      </c>
      <c r="C1130" s="372" t="s">
        <v>309</v>
      </c>
      <c r="D1130" s="382">
        <v>188929.85</v>
      </c>
      <c r="E1130" s="383">
        <v>188929.85</v>
      </c>
      <c r="F1130" s="384">
        <v>0</v>
      </c>
      <c r="G1130" s="71" t="str">
        <f t="shared" si="19"/>
        <v>850</v>
      </c>
    </row>
    <row r="1131" spans="1:7" ht="12.75">
      <c r="A1131" s="370" t="s">
        <v>632</v>
      </c>
      <c r="B1131" s="371">
        <v>200</v>
      </c>
      <c r="C1131" s="369" t="s">
        <v>310</v>
      </c>
      <c r="D1131" s="385">
        <v>14542</v>
      </c>
      <c r="E1131" s="380">
        <v>14542</v>
      </c>
      <c r="F1131" s="386">
        <v>0</v>
      </c>
      <c r="G1131" s="71" t="str">
        <f t="shared" si="19"/>
        <v>852</v>
      </c>
    </row>
    <row r="1132" spans="1:7" ht="12.75">
      <c r="A1132" s="370" t="s">
        <v>1375</v>
      </c>
      <c r="B1132" s="371">
        <v>200</v>
      </c>
      <c r="C1132" s="369" t="s">
        <v>157</v>
      </c>
      <c r="D1132" s="385">
        <v>174387.85</v>
      </c>
      <c r="E1132" s="380">
        <v>174387.85</v>
      </c>
      <c r="F1132" s="386">
        <v>0</v>
      </c>
      <c r="G1132" s="71" t="str">
        <f t="shared" si="19"/>
        <v>853</v>
      </c>
    </row>
    <row r="1133" spans="1:7" ht="22.5">
      <c r="A1133" s="373" t="s">
        <v>650</v>
      </c>
      <c r="B1133" s="374">
        <v>200</v>
      </c>
      <c r="C1133" s="372" t="s">
        <v>311</v>
      </c>
      <c r="D1133" s="382">
        <v>157943555.84</v>
      </c>
      <c r="E1133" s="383">
        <v>157939545.81</v>
      </c>
      <c r="F1133" s="384">
        <v>4010.03</v>
      </c>
      <c r="G1133" s="71" t="str">
        <f t="shared" si="19"/>
        <v>000</v>
      </c>
    </row>
    <row r="1134" spans="1:7" ht="22.5">
      <c r="A1134" s="373" t="s">
        <v>46</v>
      </c>
      <c r="B1134" s="374">
        <v>200</v>
      </c>
      <c r="C1134" s="372" t="s">
        <v>312</v>
      </c>
      <c r="D1134" s="382">
        <v>157943555.84</v>
      </c>
      <c r="E1134" s="383">
        <v>157939545.81</v>
      </c>
      <c r="F1134" s="384">
        <v>4010.03</v>
      </c>
      <c r="G1134" s="71" t="str">
        <f t="shared" si="19"/>
        <v>600</v>
      </c>
    </row>
    <row r="1135" spans="1:7" ht="12.75">
      <c r="A1135" s="373" t="s">
        <v>48</v>
      </c>
      <c r="B1135" s="374">
        <v>200</v>
      </c>
      <c r="C1135" s="372" t="s">
        <v>313</v>
      </c>
      <c r="D1135" s="382">
        <v>157943555.84</v>
      </c>
      <c r="E1135" s="383">
        <v>157939545.81</v>
      </c>
      <c r="F1135" s="384">
        <v>4010.03</v>
      </c>
      <c r="G1135" s="71" t="str">
        <f t="shared" si="19"/>
        <v>610</v>
      </c>
    </row>
    <row r="1136" spans="1:7" ht="33.75">
      <c r="A1136" s="370" t="s">
        <v>651</v>
      </c>
      <c r="B1136" s="371">
        <v>200</v>
      </c>
      <c r="C1136" s="369" t="s">
        <v>314</v>
      </c>
      <c r="D1136" s="385">
        <v>156248102</v>
      </c>
      <c r="E1136" s="380">
        <v>156248102</v>
      </c>
      <c r="F1136" s="386">
        <v>0</v>
      </c>
      <c r="G1136" s="71" t="str">
        <f t="shared" si="19"/>
        <v>611</v>
      </c>
    </row>
    <row r="1137" spans="1:7" ht="12.75">
      <c r="A1137" s="370" t="s">
        <v>652</v>
      </c>
      <c r="B1137" s="371">
        <v>200</v>
      </c>
      <c r="C1137" s="369" t="s">
        <v>847</v>
      </c>
      <c r="D1137" s="385">
        <v>1695453.84</v>
      </c>
      <c r="E1137" s="380">
        <v>1691443.81</v>
      </c>
      <c r="F1137" s="386">
        <v>4010.03</v>
      </c>
      <c r="G1137" s="71" t="str">
        <f t="shared" si="19"/>
        <v>612</v>
      </c>
    </row>
    <row r="1138" spans="1:7" ht="101.25">
      <c r="A1138" s="377" t="s">
        <v>1614</v>
      </c>
      <c r="B1138" s="374">
        <v>200</v>
      </c>
      <c r="C1138" s="372" t="s">
        <v>848</v>
      </c>
      <c r="D1138" s="382">
        <v>113935185.78</v>
      </c>
      <c r="E1138" s="383">
        <v>113751139.94</v>
      </c>
      <c r="F1138" s="384">
        <v>184045.84</v>
      </c>
      <c r="G1138" s="71" t="str">
        <f t="shared" si="19"/>
        <v>000</v>
      </c>
    </row>
    <row r="1139" spans="1:7" ht="33.75">
      <c r="A1139" s="373" t="s">
        <v>36</v>
      </c>
      <c r="B1139" s="374">
        <v>200</v>
      </c>
      <c r="C1139" s="372" t="s">
        <v>849</v>
      </c>
      <c r="D1139" s="382">
        <v>31951018.76</v>
      </c>
      <c r="E1139" s="383">
        <v>31853251.29</v>
      </c>
      <c r="F1139" s="384">
        <v>97767.47</v>
      </c>
      <c r="G1139" s="71" t="str">
        <f t="shared" si="19"/>
        <v>100</v>
      </c>
    </row>
    <row r="1140" spans="1:7" ht="12.75">
      <c r="A1140" s="373" t="s">
        <v>41</v>
      </c>
      <c r="B1140" s="374">
        <v>200</v>
      </c>
      <c r="C1140" s="372" t="s">
        <v>850</v>
      </c>
      <c r="D1140" s="382">
        <v>31951018.76</v>
      </c>
      <c r="E1140" s="383">
        <v>31853251.29</v>
      </c>
      <c r="F1140" s="384">
        <v>97767.47</v>
      </c>
      <c r="G1140" s="71" t="str">
        <f t="shared" si="19"/>
        <v>110</v>
      </c>
    </row>
    <row r="1141" spans="1:7" ht="12.75">
      <c r="A1141" s="370" t="s">
        <v>412</v>
      </c>
      <c r="B1141" s="371">
        <v>200</v>
      </c>
      <c r="C1141" s="369" t="s">
        <v>851</v>
      </c>
      <c r="D1141" s="385">
        <v>20753980.8</v>
      </c>
      <c r="E1141" s="380">
        <v>20753980.8</v>
      </c>
      <c r="F1141" s="386">
        <v>0</v>
      </c>
      <c r="G1141" s="71" t="str">
        <f t="shared" si="19"/>
        <v>111</v>
      </c>
    </row>
    <row r="1142" spans="1:7" ht="12.75">
      <c r="A1142" s="370" t="s">
        <v>413</v>
      </c>
      <c r="B1142" s="371">
        <v>200</v>
      </c>
      <c r="C1142" s="369" t="s">
        <v>852</v>
      </c>
      <c r="D1142" s="385">
        <v>4522209.22</v>
      </c>
      <c r="E1142" s="380">
        <v>4522209.22</v>
      </c>
      <c r="F1142" s="386">
        <v>0</v>
      </c>
      <c r="G1142" s="71" t="str">
        <f t="shared" si="19"/>
        <v>112</v>
      </c>
    </row>
    <row r="1143" spans="1:7" ht="22.5">
      <c r="A1143" s="370" t="s">
        <v>414</v>
      </c>
      <c r="B1143" s="371">
        <v>200</v>
      </c>
      <c r="C1143" s="369" t="s">
        <v>853</v>
      </c>
      <c r="D1143" s="385">
        <v>6674828.74</v>
      </c>
      <c r="E1143" s="380">
        <v>6577061.27</v>
      </c>
      <c r="F1143" s="386">
        <v>97767.47</v>
      </c>
      <c r="G1143" s="71" t="str">
        <f t="shared" si="19"/>
        <v>119</v>
      </c>
    </row>
    <row r="1144" spans="1:7" ht="22.5">
      <c r="A1144" s="373" t="s">
        <v>411</v>
      </c>
      <c r="B1144" s="374">
        <v>200</v>
      </c>
      <c r="C1144" s="372" t="s">
        <v>854</v>
      </c>
      <c r="D1144" s="382">
        <v>1512282.02</v>
      </c>
      <c r="E1144" s="383">
        <v>1426003.65</v>
      </c>
      <c r="F1144" s="384">
        <v>86278.37</v>
      </c>
      <c r="G1144" s="71" t="str">
        <f t="shared" si="19"/>
        <v>200</v>
      </c>
    </row>
    <row r="1145" spans="1:7" ht="22.5">
      <c r="A1145" s="373" t="s">
        <v>38</v>
      </c>
      <c r="B1145" s="374">
        <v>200</v>
      </c>
      <c r="C1145" s="372" t="s">
        <v>855</v>
      </c>
      <c r="D1145" s="382">
        <v>1512282.02</v>
      </c>
      <c r="E1145" s="383">
        <v>1426003.65</v>
      </c>
      <c r="F1145" s="384">
        <v>86278.37</v>
      </c>
      <c r="G1145" s="71" t="str">
        <f t="shared" si="19"/>
        <v>240</v>
      </c>
    </row>
    <row r="1146" spans="1:7" ht="12.75">
      <c r="A1146" s="370" t="s">
        <v>1658</v>
      </c>
      <c r="B1146" s="371">
        <v>200</v>
      </c>
      <c r="C1146" s="369" t="s">
        <v>856</v>
      </c>
      <c r="D1146" s="385">
        <v>1512282.02</v>
      </c>
      <c r="E1146" s="380">
        <v>1426003.65</v>
      </c>
      <c r="F1146" s="386">
        <v>86278.37</v>
      </c>
      <c r="G1146" s="71" t="str">
        <f t="shared" si="19"/>
        <v>244</v>
      </c>
    </row>
    <row r="1147" spans="1:7" ht="22.5">
      <c r="A1147" s="373" t="s">
        <v>46</v>
      </c>
      <c r="B1147" s="374">
        <v>200</v>
      </c>
      <c r="C1147" s="372" t="s">
        <v>857</v>
      </c>
      <c r="D1147" s="382">
        <v>80471885</v>
      </c>
      <c r="E1147" s="383">
        <v>80471885</v>
      </c>
      <c r="F1147" s="384">
        <v>0</v>
      </c>
      <c r="G1147" s="71" t="str">
        <f t="shared" si="19"/>
        <v>600</v>
      </c>
    </row>
    <row r="1148" spans="1:7" ht="12.75">
      <c r="A1148" s="373" t="s">
        <v>48</v>
      </c>
      <c r="B1148" s="374">
        <v>200</v>
      </c>
      <c r="C1148" s="372" t="s">
        <v>858</v>
      </c>
      <c r="D1148" s="382">
        <v>80471885</v>
      </c>
      <c r="E1148" s="383">
        <v>80471885</v>
      </c>
      <c r="F1148" s="384">
        <v>0</v>
      </c>
      <c r="G1148" s="71" t="str">
        <f t="shared" si="19"/>
        <v>610</v>
      </c>
    </row>
    <row r="1149" spans="1:7" ht="33.75">
      <c r="A1149" s="370" t="s">
        <v>651</v>
      </c>
      <c r="B1149" s="371">
        <v>200</v>
      </c>
      <c r="C1149" s="369" t="s">
        <v>859</v>
      </c>
      <c r="D1149" s="385">
        <v>80471885</v>
      </c>
      <c r="E1149" s="380">
        <v>80471885</v>
      </c>
      <c r="F1149" s="386">
        <v>0</v>
      </c>
      <c r="G1149" s="71" t="str">
        <f t="shared" si="19"/>
        <v>611</v>
      </c>
    </row>
    <row r="1150" spans="1:7" ht="101.25">
      <c r="A1150" s="377" t="s">
        <v>1615</v>
      </c>
      <c r="B1150" s="374">
        <v>200</v>
      </c>
      <c r="C1150" s="372" t="s">
        <v>860</v>
      </c>
      <c r="D1150" s="382">
        <v>225584312.76</v>
      </c>
      <c r="E1150" s="383">
        <v>223923076.29</v>
      </c>
      <c r="F1150" s="384">
        <v>1661236.47</v>
      </c>
      <c r="G1150" s="71" t="str">
        <f t="shared" si="19"/>
        <v>000</v>
      </c>
    </row>
    <row r="1151" spans="1:7" ht="33.75">
      <c r="A1151" s="373" t="s">
        <v>36</v>
      </c>
      <c r="B1151" s="374">
        <v>200</v>
      </c>
      <c r="C1151" s="372" t="s">
        <v>861</v>
      </c>
      <c r="D1151" s="382">
        <v>51259577.79</v>
      </c>
      <c r="E1151" s="383">
        <v>49645492.07</v>
      </c>
      <c r="F1151" s="384">
        <v>1614085.72</v>
      </c>
      <c r="G1151" s="71" t="str">
        <f t="shared" si="19"/>
        <v>100</v>
      </c>
    </row>
    <row r="1152" spans="1:7" ht="12.75">
      <c r="A1152" s="373" t="s">
        <v>41</v>
      </c>
      <c r="B1152" s="374">
        <v>200</v>
      </c>
      <c r="C1152" s="372" t="s">
        <v>862</v>
      </c>
      <c r="D1152" s="382">
        <v>51259577.79</v>
      </c>
      <c r="E1152" s="383">
        <v>49645492.07</v>
      </c>
      <c r="F1152" s="384">
        <v>1614085.72</v>
      </c>
      <c r="G1152" s="71" t="str">
        <f t="shared" si="19"/>
        <v>110</v>
      </c>
    </row>
    <row r="1153" spans="1:7" ht="12.75">
      <c r="A1153" s="370" t="s">
        <v>412</v>
      </c>
      <c r="B1153" s="371">
        <v>200</v>
      </c>
      <c r="C1153" s="369" t="s">
        <v>863</v>
      </c>
      <c r="D1153" s="385">
        <v>38928629.67</v>
      </c>
      <c r="E1153" s="380">
        <v>37814948.84</v>
      </c>
      <c r="F1153" s="386">
        <v>1113680.83</v>
      </c>
      <c r="G1153" s="71" t="str">
        <f t="shared" si="19"/>
        <v>111</v>
      </c>
    </row>
    <row r="1154" spans="1:7" ht="12.75">
      <c r="A1154" s="370" t="s">
        <v>413</v>
      </c>
      <c r="B1154" s="371">
        <v>200</v>
      </c>
      <c r="C1154" s="369" t="s">
        <v>864</v>
      </c>
      <c r="D1154" s="385">
        <v>170556.83</v>
      </c>
      <c r="E1154" s="380">
        <v>169868.78</v>
      </c>
      <c r="F1154" s="386">
        <v>688.05</v>
      </c>
      <c r="G1154" s="71" t="str">
        <f t="shared" si="19"/>
        <v>112</v>
      </c>
    </row>
    <row r="1155" spans="1:7" ht="22.5">
      <c r="A1155" s="370" t="s">
        <v>414</v>
      </c>
      <c r="B1155" s="371">
        <v>200</v>
      </c>
      <c r="C1155" s="369" t="s">
        <v>865</v>
      </c>
      <c r="D1155" s="385">
        <v>12160391.29</v>
      </c>
      <c r="E1155" s="380">
        <v>11660674.45</v>
      </c>
      <c r="F1155" s="386">
        <v>499716.84</v>
      </c>
      <c r="G1155" s="71" t="str">
        <f t="shared" si="19"/>
        <v>119</v>
      </c>
    </row>
    <row r="1156" spans="1:7" ht="22.5">
      <c r="A1156" s="373" t="s">
        <v>411</v>
      </c>
      <c r="B1156" s="374">
        <v>200</v>
      </c>
      <c r="C1156" s="372" t="s">
        <v>866</v>
      </c>
      <c r="D1156" s="382">
        <v>1020790.97</v>
      </c>
      <c r="E1156" s="383">
        <v>973640.22</v>
      </c>
      <c r="F1156" s="384">
        <v>47150.75</v>
      </c>
      <c r="G1156" s="71" t="str">
        <f t="shared" si="19"/>
        <v>200</v>
      </c>
    </row>
    <row r="1157" spans="1:7" ht="22.5">
      <c r="A1157" s="373" t="s">
        <v>38</v>
      </c>
      <c r="B1157" s="374">
        <v>200</v>
      </c>
      <c r="C1157" s="372" t="s">
        <v>867</v>
      </c>
      <c r="D1157" s="382">
        <v>1020790.97</v>
      </c>
      <c r="E1157" s="383">
        <v>973640.22</v>
      </c>
      <c r="F1157" s="384">
        <v>47150.75</v>
      </c>
      <c r="G1157" s="71" t="str">
        <f t="shared" si="19"/>
        <v>240</v>
      </c>
    </row>
    <row r="1158" spans="1:7" ht="12.75">
      <c r="A1158" s="370" t="s">
        <v>1658</v>
      </c>
      <c r="B1158" s="371">
        <v>200</v>
      </c>
      <c r="C1158" s="369" t="s">
        <v>868</v>
      </c>
      <c r="D1158" s="385">
        <v>1020790.97</v>
      </c>
      <c r="E1158" s="380">
        <v>973640.22</v>
      </c>
      <c r="F1158" s="386">
        <v>47150.75</v>
      </c>
      <c r="G1158" s="71" t="str">
        <f t="shared" si="19"/>
        <v>244</v>
      </c>
    </row>
    <row r="1159" spans="1:7" ht="22.5">
      <c r="A1159" s="373" t="s">
        <v>46</v>
      </c>
      <c r="B1159" s="374">
        <v>200</v>
      </c>
      <c r="C1159" s="372" t="s">
        <v>869</v>
      </c>
      <c r="D1159" s="382">
        <v>173303944</v>
      </c>
      <c r="E1159" s="383">
        <v>173303944</v>
      </c>
      <c r="F1159" s="384">
        <v>0</v>
      </c>
      <c r="G1159" s="71" t="str">
        <f t="shared" si="19"/>
        <v>600</v>
      </c>
    </row>
    <row r="1160" spans="1:7" ht="12.75">
      <c r="A1160" s="373" t="s">
        <v>48</v>
      </c>
      <c r="B1160" s="374">
        <v>200</v>
      </c>
      <c r="C1160" s="372" t="s">
        <v>870</v>
      </c>
      <c r="D1160" s="382">
        <v>173303944</v>
      </c>
      <c r="E1160" s="383">
        <v>173303944</v>
      </c>
      <c r="F1160" s="384">
        <v>0</v>
      </c>
      <c r="G1160" s="71" t="str">
        <f t="shared" si="19"/>
        <v>610</v>
      </c>
    </row>
    <row r="1161" spans="1:7" ht="33.75">
      <c r="A1161" s="370" t="s">
        <v>651</v>
      </c>
      <c r="B1161" s="371">
        <v>200</v>
      </c>
      <c r="C1161" s="369" t="s">
        <v>871</v>
      </c>
      <c r="D1161" s="385">
        <v>173303944</v>
      </c>
      <c r="E1161" s="380">
        <v>173303944</v>
      </c>
      <c r="F1161" s="386">
        <v>0</v>
      </c>
      <c r="G1161" s="71" t="str">
        <f t="shared" si="19"/>
        <v>611</v>
      </c>
    </row>
    <row r="1162" spans="1:7" ht="12.75">
      <c r="A1162" s="373" t="s">
        <v>243</v>
      </c>
      <c r="B1162" s="374">
        <v>200</v>
      </c>
      <c r="C1162" s="372" t="s">
        <v>1900</v>
      </c>
      <c r="D1162" s="382">
        <v>7675530.4</v>
      </c>
      <c r="E1162" s="383">
        <v>7675530.4</v>
      </c>
      <c r="F1162" s="384">
        <v>0</v>
      </c>
      <c r="G1162" s="71" t="str">
        <f t="shared" si="19"/>
        <v>000</v>
      </c>
    </row>
    <row r="1163" spans="1:7" ht="33.75">
      <c r="A1163" s="373" t="s">
        <v>2092</v>
      </c>
      <c r="B1163" s="374">
        <v>200</v>
      </c>
      <c r="C1163" s="372" t="s">
        <v>2123</v>
      </c>
      <c r="D1163" s="382">
        <v>3462836</v>
      </c>
      <c r="E1163" s="383">
        <v>3462836</v>
      </c>
      <c r="F1163" s="384">
        <v>0</v>
      </c>
      <c r="G1163" s="71" t="str">
        <f t="shared" si="19"/>
        <v>000</v>
      </c>
    </row>
    <row r="1164" spans="1:7" ht="33.75">
      <c r="A1164" s="373" t="s">
        <v>36</v>
      </c>
      <c r="B1164" s="374">
        <v>200</v>
      </c>
      <c r="C1164" s="372" t="s">
        <v>2124</v>
      </c>
      <c r="D1164" s="382">
        <v>1240532</v>
      </c>
      <c r="E1164" s="383">
        <v>1240532</v>
      </c>
      <c r="F1164" s="384">
        <v>0</v>
      </c>
      <c r="G1164" s="71" t="str">
        <f t="shared" si="19"/>
        <v>100</v>
      </c>
    </row>
    <row r="1165" spans="1:7" ht="12.75">
      <c r="A1165" s="373" t="s">
        <v>41</v>
      </c>
      <c r="B1165" s="374">
        <v>200</v>
      </c>
      <c r="C1165" s="372" t="s">
        <v>2125</v>
      </c>
      <c r="D1165" s="382">
        <v>1240532</v>
      </c>
      <c r="E1165" s="383">
        <v>1240532</v>
      </c>
      <c r="F1165" s="384">
        <v>0</v>
      </c>
      <c r="G1165" s="71" t="str">
        <f t="shared" si="19"/>
        <v>110</v>
      </c>
    </row>
    <row r="1166" spans="1:7" ht="12.75">
      <c r="A1166" s="370" t="s">
        <v>412</v>
      </c>
      <c r="B1166" s="371">
        <v>200</v>
      </c>
      <c r="C1166" s="369" t="s">
        <v>2126</v>
      </c>
      <c r="D1166" s="385">
        <v>952790</v>
      </c>
      <c r="E1166" s="380">
        <v>952790</v>
      </c>
      <c r="F1166" s="386">
        <v>0</v>
      </c>
      <c r="G1166" s="71" t="str">
        <f t="shared" si="19"/>
        <v>111</v>
      </c>
    </row>
    <row r="1167" spans="1:7" ht="22.5">
      <c r="A1167" s="370" t="s">
        <v>414</v>
      </c>
      <c r="B1167" s="371">
        <v>200</v>
      </c>
      <c r="C1167" s="369" t="s">
        <v>2127</v>
      </c>
      <c r="D1167" s="385">
        <v>287742</v>
      </c>
      <c r="E1167" s="380">
        <v>287742</v>
      </c>
      <c r="F1167" s="386">
        <v>0</v>
      </c>
      <c r="G1167" s="71" t="str">
        <f t="shared" si="19"/>
        <v>119</v>
      </c>
    </row>
    <row r="1168" spans="1:7" ht="22.5">
      <c r="A1168" s="373" t="s">
        <v>46</v>
      </c>
      <c r="B1168" s="374">
        <v>200</v>
      </c>
      <c r="C1168" s="372" t="s">
        <v>2453</v>
      </c>
      <c r="D1168" s="382">
        <v>2222304</v>
      </c>
      <c r="E1168" s="383">
        <v>2222304</v>
      </c>
      <c r="F1168" s="384">
        <v>0</v>
      </c>
      <c r="G1168" s="71" t="str">
        <f t="shared" si="19"/>
        <v>600</v>
      </c>
    </row>
    <row r="1169" spans="1:7" ht="12.75">
      <c r="A1169" s="373" t="s">
        <v>48</v>
      </c>
      <c r="B1169" s="374">
        <v>200</v>
      </c>
      <c r="C1169" s="372" t="s">
        <v>2454</v>
      </c>
      <c r="D1169" s="382">
        <v>2222304</v>
      </c>
      <c r="E1169" s="383">
        <v>2222304</v>
      </c>
      <c r="F1169" s="384">
        <v>0</v>
      </c>
      <c r="G1169" s="71" t="str">
        <f t="shared" si="19"/>
        <v>610</v>
      </c>
    </row>
    <row r="1170" spans="1:7" ht="12.75">
      <c r="A1170" s="370" t="s">
        <v>652</v>
      </c>
      <c r="B1170" s="371">
        <v>200</v>
      </c>
      <c r="C1170" s="369" t="s">
        <v>2455</v>
      </c>
      <c r="D1170" s="385">
        <v>2222304</v>
      </c>
      <c r="E1170" s="380">
        <v>2222304</v>
      </c>
      <c r="F1170" s="386">
        <v>0</v>
      </c>
      <c r="G1170" s="71" t="str">
        <f t="shared" si="19"/>
        <v>612</v>
      </c>
    </row>
    <row r="1171" spans="1:7" ht="22.5">
      <c r="A1171" s="373" t="s">
        <v>1811</v>
      </c>
      <c r="B1171" s="374">
        <v>200</v>
      </c>
      <c r="C1171" s="372" t="s">
        <v>1901</v>
      </c>
      <c r="D1171" s="382">
        <v>4212694.4</v>
      </c>
      <c r="E1171" s="383">
        <v>4212694.4</v>
      </c>
      <c r="F1171" s="384">
        <v>0</v>
      </c>
      <c r="G1171" s="71" t="str">
        <f t="shared" si="19"/>
        <v>000</v>
      </c>
    </row>
    <row r="1172" spans="1:7" ht="33.75">
      <c r="A1172" s="373" t="s">
        <v>36</v>
      </c>
      <c r="B1172" s="374">
        <v>200</v>
      </c>
      <c r="C1172" s="372" t="s">
        <v>1902</v>
      </c>
      <c r="D1172" s="382">
        <v>1743697.84</v>
      </c>
      <c r="E1172" s="383">
        <v>1743697.84</v>
      </c>
      <c r="F1172" s="384">
        <v>0</v>
      </c>
      <c r="G1172" s="71" t="str">
        <f t="shared" si="19"/>
        <v>100</v>
      </c>
    </row>
    <row r="1173" spans="1:7" ht="12.75">
      <c r="A1173" s="373" t="s">
        <v>41</v>
      </c>
      <c r="B1173" s="374">
        <v>200</v>
      </c>
      <c r="C1173" s="372" t="s">
        <v>1903</v>
      </c>
      <c r="D1173" s="382">
        <v>1743697.84</v>
      </c>
      <c r="E1173" s="383">
        <v>1743697.84</v>
      </c>
      <c r="F1173" s="384">
        <v>0</v>
      </c>
      <c r="G1173" s="71" t="str">
        <f t="shared" si="19"/>
        <v>110</v>
      </c>
    </row>
    <row r="1174" spans="1:7" ht="12.75">
      <c r="A1174" s="370" t="s">
        <v>412</v>
      </c>
      <c r="B1174" s="371">
        <v>200</v>
      </c>
      <c r="C1174" s="369" t="s">
        <v>1904</v>
      </c>
      <c r="D1174" s="385">
        <v>1322838.73</v>
      </c>
      <c r="E1174" s="380">
        <v>1322838.73</v>
      </c>
      <c r="F1174" s="386">
        <v>0</v>
      </c>
      <c r="G1174" s="71" t="str">
        <f t="shared" si="19"/>
        <v>111</v>
      </c>
    </row>
    <row r="1175" spans="1:7" ht="22.5">
      <c r="A1175" s="370" t="s">
        <v>414</v>
      </c>
      <c r="B1175" s="371">
        <v>200</v>
      </c>
      <c r="C1175" s="369" t="s">
        <v>1905</v>
      </c>
      <c r="D1175" s="385">
        <v>420859.11</v>
      </c>
      <c r="E1175" s="380">
        <v>420859.11</v>
      </c>
      <c r="F1175" s="386">
        <v>0</v>
      </c>
      <c r="G1175" s="71" t="str">
        <f t="shared" si="19"/>
        <v>119</v>
      </c>
    </row>
    <row r="1176" spans="1:7" ht="22.5">
      <c r="A1176" s="373" t="s">
        <v>46</v>
      </c>
      <c r="B1176" s="374">
        <v>200</v>
      </c>
      <c r="C1176" s="372" t="s">
        <v>1906</v>
      </c>
      <c r="D1176" s="382">
        <v>2468996.56</v>
      </c>
      <c r="E1176" s="383">
        <v>2468996.56</v>
      </c>
      <c r="F1176" s="384">
        <v>0</v>
      </c>
      <c r="G1176" s="71" t="str">
        <f t="shared" si="19"/>
        <v>600</v>
      </c>
    </row>
    <row r="1177" spans="1:7" ht="12.75">
      <c r="A1177" s="373" t="s">
        <v>48</v>
      </c>
      <c r="B1177" s="374">
        <v>200</v>
      </c>
      <c r="C1177" s="372" t="s">
        <v>1907</v>
      </c>
      <c r="D1177" s="382">
        <v>2468996.56</v>
      </c>
      <c r="E1177" s="383">
        <v>2468996.56</v>
      </c>
      <c r="F1177" s="384">
        <v>0</v>
      </c>
      <c r="G1177" s="71" t="str">
        <f t="shared" si="19"/>
        <v>610</v>
      </c>
    </row>
    <row r="1178" spans="1:7" ht="33.75">
      <c r="A1178" s="370" t="s">
        <v>651</v>
      </c>
      <c r="B1178" s="371">
        <v>200</v>
      </c>
      <c r="C1178" s="369" t="s">
        <v>1908</v>
      </c>
      <c r="D1178" s="385">
        <v>2468996.56</v>
      </c>
      <c r="E1178" s="380">
        <v>2468996.56</v>
      </c>
      <c r="F1178" s="386">
        <v>0</v>
      </c>
      <c r="G1178" s="71" t="str">
        <f aca="true" t="shared" si="20" ref="G1178:G1241">RIGHT(C1178,3)</f>
        <v>611</v>
      </c>
    </row>
    <row r="1179" spans="1:7" ht="12.75">
      <c r="A1179" s="373" t="s">
        <v>60</v>
      </c>
      <c r="B1179" s="374">
        <v>200</v>
      </c>
      <c r="C1179" s="372" t="s">
        <v>872</v>
      </c>
      <c r="D1179" s="382">
        <v>1764207523.07</v>
      </c>
      <c r="E1179" s="383">
        <v>1718124898.31</v>
      </c>
      <c r="F1179" s="384">
        <v>46082624.76</v>
      </c>
      <c r="G1179" s="71" t="str">
        <f t="shared" si="20"/>
        <v>000</v>
      </c>
    </row>
    <row r="1180" spans="1:7" ht="33.75">
      <c r="A1180" s="373" t="s">
        <v>1410</v>
      </c>
      <c r="B1180" s="374">
        <v>200</v>
      </c>
      <c r="C1180" s="372" t="s">
        <v>873</v>
      </c>
      <c r="D1180" s="382">
        <v>1737942278.79</v>
      </c>
      <c r="E1180" s="383">
        <v>1691859654.03</v>
      </c>
      <c r="F1180" s="384">
        <v>46082624.76</v>
      </c>
      <c r="G1180" s="71" t="str">
        <f t="shared" si="20"/>
        <v>000</v>
      </c>
    </row>
    <row r="1181" spans="1:7" ht="22.5">
      <c r="A1181" s="373" t="s">
        <v>645</v>
      </c>
      <c r="B1181" s="374">
        <v>200</v>
      </c>
      <c r="C1181" s="372" t="s">
        <v>874</v>
      </c>
      <c r="D1181" s="382">
        <v>491448015.02</v>
      </c>
      <c r="E1181" s="383">
        <v>480598224.05</v>
      </c>
      <c r="F1181" s="384">
        <v>10849790.97</v>
      </c>
      <c r="G1181" s="71" t="str">
        <f t="shared" si="20"/>
        <v>000</v>
      </c>
    </row>
    <row r="1182" spans="1:7" ht="33.75">
      <c r="A1182" s="373" t="s">
        <v>36</v>
      </c>
      <c r="B1182" s="374">
        <v>200</v>
      </c>
      <c r="C1182" s="372" t="s">
        <v>875</v>
      </c>
      <c r="D1182" s="382">
        <v>209819756.28</v>
      </c>
      <c r="E1182" s="383">
        <v>209671964.13</v>
      </c>
      <c r="F1182" s="384">
        <v>147792.15</v>
      </c>
      <c r="G1182" s="71" t="str">
        <f t="shared" si="20"/>
        <v>100</v>
      </c>
    </row>
    <row r="1183" spans="1:7" ht="12.75">
      <c r="A1183" s="373" t="s">
        <v>41</v>
      </c>
      <c r="B1183" s="374">
        <v>200</v>
      </c>
      <c r="C1183" s="372" t="s">
        <v>876</v>
      </c>
      <c r="D1183" s="382">
        <v>209819756.28</v>
      </c>
      <c r="E1183" s="383">
        <v>209671964.13</v>
      </c>
      <c r="F1183" s="384">
        <v>147792.15</v>
      </c>
      <c r="G1183" s="71" t="str">
        <f t="shared" si="20"/>
        <v>110</v>
      </c>
    </row>
    <row r="1184" spans="1:7" ht="12.75">
      <c r="A1184" s="370" t="s">
        <v>412</v>
      </c>
      <c r="B1184" s="371">
        <v>200</v>
      </c>
      <c r="C1184" s="369" t="s">
        <v>877</v>
      </c>
      <c r="D1184" s="385">
        <v>149093213.21</v>
      </c>
      <c r="E1184" s="380">
        <v>149093213.21</v>
      </c>
      <c r="F1184" s="386">
        <v>0</v>
      </c>
      <c r="G1184" s="71" t="str">
        <f t="shared" si="20"/>
        <v>111</v>
      </c>
    </row>
    <row r="1185" spans="1:7" ht="12.75">
      <c r="A1185" s="370" t="s">
        <v>413</v>
      </c>
      <c r="B1185" s="371">
        <v>200</v>
      </c>
      <c r="C1185" s="369" t="s">
        <v>878</v>
      </c>
      <c r="D1185" s="385">
        <v>14830403.39</v>
      </c>
      <c r="E1185" s="380">
        <v>14768694.67</v>
      </c>
      <c r="F1185" s="386">
        <v>61708.72</v>
      </c>
      <c r="G1185" s="71" t="str">
        <f t="shared" si="20"/>
        <v>112</v>
      </c>
    </row>
    <row r="1186" spans="1:7" ht="33.75">
      <c r="A1186" s="370" t="s">
        <v>2489</v>
      </c>
      <c r="B1186" s="371">
        <v>200</v>
      </c>
      <c r="C1186" s="369" t="s">
        <v>2490</v>
      </c>
      <c r="D1186" s="385">
        <v>81518.3</v>
      </c>
      <c r="E1186" s="380">
        <v>80018.3</v>
      </c>
      <c r="F1186" s="386">
        <v>1500</v>
      </c>
      <c r="G1186" s="71" t="str">
        <f t="shared" si="20"/>
        <v>113</v>
      </c>
    </row>
    <row r="1187" spans="1:7" ht="22.5">
      <c r="A1187" s="370" t="s">
        <v>414</v>
      </c>
      <c r="B1187" s="371">
        <v>200</v>
      </c>
      <c r="C1187" s="369" t="s">
        <v>1470</v>
      </c>
      <c r="D1187" s="385">
        <v>45814621.38</v>
      </c>
      <c r="E1187" s="380">
        <v>45730037.95</v>
      </c>
      <c r="F1187" s="386">
        <v>84583.43</v>
      </c>
      <c r="G1187" s="71" t="str">
        <f t="shared" si="20"/>
        <v>119</v>
      </c>
    </row>
    <row r="1188" spans="1:7" ht="22.5">
      <c r="A1188" s="373" t="s">
        <v>411</v>
      </c>
      <c r="B1188" s="374">
        <v>200</v>
      </c>
      <c r="C1188" s="372" t="s">
        <v>1471</v>
      </c>
      <c r="D1188" s="382">
        <v>280063826.16</v>
      </c>
      <c r="E1188" s="383">
        <v>269362627.34</v>
      </c>
      <c r="F1188" s="384">
        <v>10701198.82</v>
      </c>
      <c r="G1188" s="71" t="str">
        <f t="shared" si="20"/>
        <v>200</v>
      </c>
    </row>
    <row r="1189" spans="1:7" ht="22.5">
      <c r="A1189" s="373" t="s">
        <v>38</v>
      </c>
      <c r="B1189" s="374">
        <v>200</v>
      </c>
      <c r="C1189" s="372" t="s">
        <v>1472</v>
      </c>
      <c r="D1189" s="382">
        <v>280063826.16</v>
      </c>
      <c r="E1189" s="383">
        <v>269362627.34</v>
      </c>
      <c r="F1189" s="384">
        <v>10701198.82</v>
      </c>
      <c r="G1189" s="71" t="str">
        <f t="shared" si="20"/>
        <v>240</v>
      </c>
    </row>
    <row r="1190" spans="1:7" ht="22.5">
      <c r="A1190" s="370" t="s">
        <v>637</v>
      </c>
      <c r="B1190" s="371">
        <v>200</v>
      </c>
      <c r="C1190" s="369" t="s">
        <v>1473</v>
      </c>
      <c r="D1190" s="385">
        <v>14158328.08</v>
      </c>
      <c r="E1190" s="380">
        <v>14158328.08</v>
      </c>
      <c r="F1190" s="386">
        <v>0</v>
      </c>
      <c r="G1190" s="71" t="str">
        <f t="shared" si="20"/>
        <v>243</v>
      </c>
    </row>
    <row r="1191" spans="1:7" ht="12.75">
      <c r="A1191" s="370" t="s">
        <v>1658</v>
      </c>
      <c r="B1191" s="371">
        <v>200</v>
      </c>
      <c r="C1191" s="369" t="s">
        <v>1474</v>
      </c>
      <c r="D1191" s="385">
        <v>265905498.08</v>
      </c>
      <c r="E1191" s="380">
        <v>255204299.26</v>
      </c>
      <c r="F1191" s="386">
        <v>10701198.82</v>
      </c>
      <c r="G1191" s="71" t="str">
        <f t="shared" si="20"/>
        <v>244</v>
      </c>
    </row>
    <row r="1192" spans="1:7" ht="12.75">
      <c r="A1192" s="373" t="s">
        <v>39</v>
      </c>
      <c r="B1192" s="374">
        <v>200</v>
      </c>
      <c r="C1192" s="372" t="s">
        <v>1475</v>
      </c>
      <c r="D1192" s="382">
        <v>1564432.58</v>
      </c>
      <c r="E1192" s="383">
        <v>1563632.58</v>
      </c>
      <c r="F1192" s="384">
        <v>800</v>
      </c>
      <c r="G1192" s="71" t="str">
        <f t="shared" si="20"/>
        <v>800</v>
      </c>
    </row>
    <row r="1193" spans="1:7" ht="12.75">
      <c r="A1193" s="373" t="s">
        <v>1817</v>
      </c>
      <c r="B1193" s="374">
        <v>200</v>
      </c>
      <c r="C1193" s="372" t="s">
        <v>2231</v>
      </c>
      <c r="D1193" s="382">
        <v>772842.38</v>
      </c>
      <c r="E1193" s="383">
        <v>772842.38</v>
      </c>
      <c r="F1193" s="384">
        <v>0</v>
      </c>
      <c r="G1193" s="71" t="str">
        <f t="shared" si="20"/>
        <v>830</v>
      </c>
    </row>
    <row r="1194" spans="1:7" ht="22.5">
      <c r="A1194" s="370" t="s">
        <v>1819</v>
      </c>
      <c r="B1194" s="371">
        <v>200</v>
      </c>
      <c r="C1194" s="369" t="s">
        <v>2232</v>
      </c>
      <c r="D1194" s="385">
        <v>772842.38</v>
      </c>
      <c r="E1194" s="380">
        <v>772842.38</v>
      </c>
      <c r="F1194" s="386">
        <v>0</v>
      </c>
      <c r="G1194" s="71" t="str">
        <f t="shared" si="20"/>
        <v>831</v>
      </c>
    </row>
    <row r="1195" spans="1:7" ht="12.75">
      <c r="A1195" s="373" t="s">
        <v>40</v>
      </c>
      <c r="B1195" s="374">
        <v>200</v>
      </c>
      <c r="C1195" s="372" t="s">
        <v>1476</v>
      </c>
      <c r="D1195" s="382">
        <v>791590.2</v>
      </c>
      <c r="E1195" s="383">
        <v>790790.2</v>
      </c>
      <c r="F1195" s="384">
        <v>800</v>
      </c>
      <c r="G1195" s="71" t="str">
        <f t="shared" si="20"/>
        <v>850</v>
      </c>
    </row>
    <row r="1196" spans="1:7" ht="12.75">
      <c r="A1196" s="370" t="s">
        <v>632</v>
      </c>
      <c r="B1196" s="371">
        <v>200</v>
      </c>
      <c r="C1196" s="369" t="s">
        <v>1477</v>
      </c>
      <c r="D1196" s="385">
        <v>16665</v>
      </c>
      <c r="E1196" s="380">
        <v>15865</v>
      </c>
      <c r="F1196" s="386">
        <v>800</v>
      </c>
      <c r="G1196" s="71" t="str">
        <f t="shared" si="20"/>
        <v>852</v>
      </c>
    </row>
    <row r="1197" spans="1:7" ht="12.75">
      <c r="A1197" s="370" t="s">
        <v>1375</v>
      </c>
      <c r="B1197" s="371">
        <v>200</v>
      </c>
      <c r="C1197" s="369" t="s">
        <v>1478</v>
      </c>
      <c r="D1197" s="385">
        <v>774925.2</v>
      </c>
      <c r="E1197" s="380">
        <v>774925.2</v>
      </c>
      <c r="F1197" s="386">
        <v>0</v>
      </c>
      <c r="G1197" s="71" t="str">
        <f t="shared" si="20"/>
        <v>853</v>
      </c>
    </row>
    <row r="1198" spans="1:7" ht="12.75">
      <c r="A1198" s="373" t="s">
        <v>97</v>
      </c>
      <c r="B1198" s="374">
        <v>200</v>
      </c>
      <c r="C1198" s="372" t="s">
        <v>1479</v>
      </c>
      <c r="D1198" s="382">
        <v>293148804.31</v>
      </c>
      <c r="E1198" s="383">
        <v>263227598.62</v>
      </c>
      <c r="F1198" s="384">
        <v>29921205.69</v>
      </c>
      <c r="G1198" s="71" t="str">
        <f t="shared" si="20"/>
        <v>000</v>
      </c>
    </row>
    <row r="1199" spans="1:7" ht="33.75">
      <c r="A1199" s="373" t="s">
        <v>36</v>
      </c>
      <c r="B1199" s="374">
        <v>200</v>
      </c>
      <c r="C1199" s="372" t="s">
        <v>1480</v>
      </c>
      <c r="D1199" s="382">
        <v>64891017.66</v>
      </c>
      <c r="E1199" s="383">
        <v>64831226.76</v>
      </c>
      <c r="F1199" s="384">
        <v>59790.9</v>
      </c>
      <c r="G1199" s="71" t="str">
        <f t="shared" si="20"/>
        <v>100</v>
      </c>
    </row>
    <row r="1200" spans="1:7" ht="12.75">
      <c r="A1200" s="373" t="s">
        <v>41</v>
      </c>
      <c r="B1200" s="374">
        <v>200</v>
      </c>
      <c r="C1200" s="372" t="s">
        <v>1481</v>
      </c>
      <c r="D1200" s="382">
        <v>64891017.66</v>
      </c>
      <c r="E1200" s="383">
        <v>64831226.76</v>
      </c>
      <c r="F1200" s="384">
        <v>59790.9</v>
      </c>
      <c r="G1200" s="71" t="str">
        <f t="shared" si="20"/>
        <v>110</v>
      </c>
    </row>
    <row r="1201" spans="1:7" ht="12.75">
      <c r="A1201" s="370" t="s">
        <v>412</v>
      </c>
      <c r="B1201" s="371">
        <v>200</v>
      </c>
      <c r="C1201" s="369" t="s">
        <v>1482</v>
      </c>
      <c r="D1201" s="385">
        <v>46910207.39</v>
      </c>
      <c r="E1201" s="380">
        <v>46910207.27</v>
      </c>
      <c r="F1201" s="386">
        <v>0.12</v>
      </c>
      <c r="G1201" s="71" t="str">
        <f t="shared" si="20"/>
        <v>111</v>
      </c>
    </row>
    <row r="1202" spans="1:7" ht="12.75">
      <c r="A1202" s="370" t="s">
        <v>413</v>
      </c>
      <c r="B1202" s="371">
        <v>200</v>
      </c>
      <c r="C1202" s="369" t="s">
        <v>1483</v>
      </c>
      <c r="D1202" s="385">
        <v>3423266</v>
      </c>
      <c r="E1202" s="380">
        <v>3388600.74</v>
      </c>
      <c r="F1202" s="386">
        <v>34665.26</v>
      </c>
      <c r="G1202" s="71" t="str">
        <f t="shared" si="20"/>
        <v>112</v>
      </c>
    </row>
    <row r="1203" spans="1:7" ht="33.75">
      <c r="A1203" s="370" t="s">
        <v>2489</v>
      </c>
      <c r="B1203" s="371">
        <v>200</v>
      </c>
      <c r="C1203" s="369" t="s">
        <v>2491</v>
      </c>
      <c r="D1203" s="385">
        <v>80050</v>
      </c>
      <c r="E1203" s="380">
        <v>57905</v>
      </c>
      <c r="F1203" s="386">
        <v>22145</v>
      </c>
      <c r="G1203" s="71" t="str">
        <f t="shared" si="20"/>
        <v>113</v>
      </c>
    </row>
    <row r="1204" spans="1:7" ht="22.5">
      <c r="A1204" s="370" t="s">
        <v>414</v>
      </c>
      <c r="B1204" s="371">
        <v>200</v>
      </c>
      <c r="C1204" s="369" t="s">
        <v>1484</v>
      </c>
      <c r="D1204" s="385">
        <v>14477494.27</v>
      </c>
      <c r="E1204" s="380">
        <v>14474513.75</v>
      </c>
      <c r="F1204" s="386">
        <v>2980.52</v>
      </c>
      <c r="G1204" s="71" t="str">
        <f t="shared" si="20"/>
        <v>119</v>
      </c>
    </row>
    <row r="1205" spans="1:7" ht="22.5">
      <c r="A1205" s="373" t="s">
        <v>411</v>
      </c>
      <c r="B1205" s="374">
        <v>200</v>
      </c>
      <c r="C1205" s="372" t="s">
        <v>1485</v>
      </c>
      <c r="D1205" s="382">
        <v>228036714.9</v>
      </c>
      <c r="E1205" s="383">
        <v>198175300.11</v>
      </c>
      <c r="F1205" s="384">
        <v>29861414.79</v>
      </c>
      <c r="G1205" s="71" t="str">
        <f t="shared" si="20"/>
        <v>200</v>
      </c>
    </row>
    <row r="1206" spans="1:7" ht="22.5">
      <c r="A1206" s="373" t="s">
        <v>38</v>
      </c>
      <c r="B1206" s="374">
        <v>200</v>
      </c>
      <c r="C1206" s="372" t="s">
        <v>1486</v>
      </c>
      <c r="D1206" s="382">
        <v>228036714.9</v>
      </c>
      <c r="E1206" s="383">
        <v>198175300.11</v>
      </c>
      <c r="F1206" s="384">
        <v>29861414.79</v>
      </c>
      <c r="G1206" s="71" t="str">
        <f t="shared" si="20"/>
        <v>240</v>
      </c>
    </row>
    <row r="1207" spans="1:7" ht="22.5">
      <c r="A1207" s="370" t="s">
        <v>637</v>
      </c>
      <c r="B1207" s="371">
        <v>200</v>
      </c>
      <c r="C1207" s="369" t="s">
        <v>677</v>
      </c>
      <c r="D1207" s="385">
        <v>1815488.31</v>
      </c>
      <c r="E1207" s="380">
        <v>352283.59</v>
      </c>
      <c r="F1207" s="386">
        <v>1463204.72</v>
      </c>
      <c r="G1207" s="71" t="str">
        <f t="shared" si="20"/>
        <v>243</v>
      </c>
    </row>
    <row r="1208" spans="1:7" ht="12.75">
      <c r="A1208" s="370" t="s">
        <v>1658</v>
      </c>
      <c r="B1208" s="371">
        <v>200</v>
      </c>
      <c r="C1208" s="369" t="s">
        <v>1487</v>
      </c>
      <c r="D1208" s="385">
        <v>226221226.59</v>
      </c>
      <c r="E1208" s="380">
        <v>197823016.52</v>
      </c>
      <c r="F1208" s="386">
        <v>28398210.07</v>
      </c>
      <c r="G1208" s="71" t="str">
        <f t="shared" si="20"/>
        <v>244</v>
      </c>
    </row>
    <row r="1209" spans="1:7" ht="12.75">
      <c r="A1209" s="373" t="s">
        <v>39</v>
      </c>
      <c r="B1209" s="374">
        <v>200</v>
      </c>
      <c r="C1209" s="372" t="s">
        <v>1488</v>
      </c>
      <c r="D1209" s="382">
        <v>221071.75</v>
      </c>
      <c r="E1209" s="383">
        <v>221071.75</v>
      </c>
      <c r="F1209" s="384">
        <v>0</v>
      </c>
      <c r="G1209" s="71" t="str">
        <f t="shared" si="20"/>
        <v>800</v>
      </c>
    </row>
    <row r="1210" spans="1:7" ht="12.75">
      <c r="A1210" s="373" t="s">
        <v>40</v>
      </c>
      <c r="B1210" s="374">
        <v>200</v>
      </c>
      <c r="C1210" s="372" t="s">
        <v>1489</v>
      </c>
      <c r="D1210" s="382">
        <v>221071.75</v>
      </c>
      <c r="E1210" s="383">
        <v>221071.75</v>
      </c>
      <c r="F1210" s="384">
        <v>0</v>
      </c>
      <c r="G1210" s="71" t="str">
        <f t="shared" si="20"/>
        <v>850</v>
      </c>
    </row>
    <row r="1211" spans="1:7" ht="12.75">
      <c r="A1211" s="370" t="s">
        <v>632</v>
      </c>
      <c r="B1211" s="371">
        <v>200</v>
      </c>
      <c r="C1211" s="369" t="s">
        <v>1490</v>
      </c>
      <c r="D1211" s="385">
        <v>9195</v>
      </c>
      <c r="E1211" s="380">
        <v>9195</v>
      </c>
      <c r="F1211" s="386">
        <v>0</v>
      </c>
      <c r="G1211" s="71" t="str">
        <f t="shared" si="20"/>
        <v>852</v>
      </c>
    </row>
    <row r="1212" spans="1:7" ht="12.75">
      <c r="A1212" s="370" t="s">
        <v>1375</v>
      </c>
      <c r="B1212" s="371">
        <v>200</v>
      </c>
      <c r="C1212" s="369" t="s">
        <v>1491</v>
      </c>
      <c r="D1212" s="385">
        <v>211876.75</v>
      </c>
      <c r="E1212" s="380">
        <v>211876.75</v>
      </c>
      <c r="F1212" s="386">
        <v>0</v>
      </c>
      <c r="G1212" s="71" t="str">
        <f t="shared" si="20"/>
        <v>853</v>
      </c>
    </row>
    <row r="1213" spans="1:7" ht="33.75">
      <c r="A1213" s="373" t="s">
        <v>1763</v>
      </c>
      <c r="B1213" s="374">
        <v>200</v>
      </c>
      <c r="C1213" s="372" t="s">
        <v>1492</v>
      </c>
      <c r="D1213" s="382">
        <v>10152300</v>
      </c>
      <c r="E1213" s="383">
        <v>9829840.83</v>
      </c>
      <c r="F1213" s="384">
        <v>322459.17</v>
      </c>
      <c r="G1213" s="71" t="str">
        <f t="shared" si="20"/>
        <v>000</v>
      </c>
    </row>
    <row r="1214" spans="1:7" ht="33.75">
      <c r="A1214" s="373" t="s">
        <v>36</v>
      </c>
      <c r="B1214" s="374">
        <v>200</v>
      </c>
      <c r="C1214" s="372" t="s">
        <v>1493</v>
      </c>
      <c r="D1214" s="382">
        <v>10152300</v>
      </c>
      <c r="E1214" s="383">
        <v>9829840.83</v>
      </c>
      <c r="F1214" s="384">
        <v>322459.17</v>
      </c>
      <c r="G1214" s="71" t="str">
        <f t="shared" si="20"/>
        <v>100</v>
      </c>
    </row>
    <row r="1215" spans="1:7" ht="12.75">
      <c r="A1215" s="373" t="s">
        <v>41</v>
      </c>
      <c r="B1215" s="374">
        <v>200</v>
      </c>
      <c r="C1215" s="372" t="s">
        <v>1494</v>
      </c>
      <c r="D1215" s="382">
        <v>10152300</v>
      </c>
      <c r="E1215" s="383">
        <v>9829840.83</v>
      </c>
      <c r="F1215" s="384">
        <v>322459.17</v>
      </c>
      <c r="G1215" s="71" t="str">
        <f t="shared" si="20"/>
        <v>110</v>
      </c>
    </row>
    <row r="1216" spans="1:7" ht="12.75">
      <c r="A1216" s="370" t="s">
        <v>412</v>
      </c>
      <c r="B1216" s="371">
        <v>200</v>
      </c>
      <c r="C1216" s="369" t="s">
        <v>1495</v>
      </c>
      <c r="D1216" s="385">
        <v>7797441</v>
      </c>
      <c r="E1216" s="380">
        <v>7700322.49</v>
      </c>
      <c r="F1216" s="386">
        <v>97118.51</v>
      </c>
      <c r="G1216" s="71" t="str">
        <f t="shared" si="20"/>
        <v>111</v>
      </c>
    </row>
    <row r="1217" spans="1:7" ht="22.5">
      <c r="A1217" s="370" t="s">
        <v>414</v>
      </c>
      <c r="B1217" s="371">
        <v>200</v>
      </c>
      <c r="C1217" s="369" t="s">
        <v>1496</v>
      </c>
      <c r="D1217" s="385">
        <v>2354859</v>
      </c>
      <c r="E1217" s="380">
        <v>2129518.34</v>
      </c>
      <c r="F1217" s="386">
        <v>225340.66</v>
      </c>
      <c r="G1217" s="71" t="str">
        <f t="shared" si="20"/>
        <v>119</v>
      </c>
    </row>
    <row r="1218" spans="1:7" ht="33.75">
      <c r="A1218" s="373" t="s">
        <v>661</v>
      </c>
      <c r="B1218" s="374">
        <v>200</v>
      </c>
      <c r="C1218" s="372" t="s">
        <v>1497</v>
      </c>
      <c r="D1218" s="382">
        <v>3340566</v>
      </c>
      <c r="E1218" s="383">
        <v>3340565.05</v>
      </c>
      <c r="F1218" s="384">
        <v>0.95</v>
      </c>
      <c r="G1218" s="71" t="str">
        <f t="shared" si="20"/>
        <v>000</v>
      </c>
    </row>
    <row r="1219" spans="1:7" ht="33.75">
      <c r="A1219" s="373" t="s">
        <v>36</v>
      </c>
      <c r="B1219" s="374">
        <v>200</v>
      </c>
      <c r="C1219" s="372" t="s">
        <v>2492</v>
      </c>
      <c r="D1219" s="382">
        <v>5000</v>
      </c>
      <c r="E1219" s="383">
        <v>5000</v>
      </c>
      <c r="F1219" s="384">
        <v>0</v>
      </c>
      <c r="G1219" s="71" t="str">
        <f t="shared" si="20"/>
        <v>100</v>
      </c>
    </row>
    <row r="1220" spans="1:7" ht="12.75">
      <c r="A1220" s="373" t="s">
        <v>41</v>
      </c>
      <c r="B1220" s="374">
        <v>200</v>
      </c>
      <c r="C1220" s="372" t="s">
        <v>2493</v>
      </c>
      <c r="D1220" s="382">
        <v>5000</v>
      </c>
      <c r="E1220" s="383">
        <v>5000</v>
      </c>
      <c r="F1220" s="384">
        <v>0</v>
      </c>
      <c r="G1220" s="71" t="str">
        <f t="shared" si="20"/>
        <v>110</v>
      </c>
    </row>
    <row r="1221" spans="1:7" ht="33.75">
      <c r="A1221" s="370" t="s">
        <v>2489</v>
      </c>
      <c r="B1221" s="371">
        <v>200</v>
      </c>
      <c r="C1221" s="369" t="s">
        <v>2494</v>
      </c>
      <c r="D1221" s="385">
        <v>5000</v>
      </c>
      <c r="E1221" s="380">
        <v>5000</v>
      </c>
      <c r="F1221" s="386">
        <v>0</v>
      </c>
      <c r="G1221" s="71" t="str">
        <f t="shared" si="20"/>
        <v>113</v>
      </c>
    </row>
    <row r="1222" spans="1:7" ht="22.5">
      <c r="A1222" s="373" t="s">
        <v>411</v>
      </c>
      <c r="B1222" s="374">
        <v>200</v>
      </c>
      <c r="C1222" s="372" t="s">
        <v>1498</v>
      </c>
      <c r="D1222" s="382">
        <v>3335566</v>
      </c>
      <c r="E1222" s="383">
        <v>3335565.05</v>
      </c>
      <c r="F1222" s="384">
        <v>0.95</v>
      </c>
      <c r="G1222" s="71" t="str">
        <f t="shared" si="20"/>
        <v>200</v>
      </c>
    </row>
    <row r="1223" spans="1:7" ht="22.5">
      <c r="A1223" s="373" t="s">
        <v>38</v>
      </c>
      <c r="B1223" s="374">
        <v>200</v>
      </c>
      <c r="C1223" s="372" t="s">
        <v>1499</v>
      </c>
      <c r="D1223" s="382">
        <v>3335566</v>
      </c>
      <c r="E1223" s="383">
        <v>3335565.05</v>
      </c>
      <c r="F1223" s="384">
        <v>0.95</v>
      </c>
      <c r="G1223" s="71" t="str">
        <f t="shared" si="20"/>
        <v>240</v>
      </c>
    </row>
    <row r="1224" spans="1:7" ht="12.75">
      <c r="A1224" s="370" t="s">
        <v>1658</v>
      </c>
      <c r="B1224" s="371">
        <v>200</v>
      </c>
      <c r="C1224" s="369" t="s">
        <v>1500</v>
      </c>
      <c r="D1224" s="385">
        <v>3335566</v>
      </c>
      <c r="E1224" s="380">
        <v>3335565.05</v>
      </c>
      <c r="F1224" s="386">
        <v>0.95</v>
      </c>
      <c r="G1224" s="71" t="str">
        <f t="shared" si="20"/>
        <v>244</v>
      </c>
    </row>
    <row r="1225" spans="1:7" ht="22.5">
      <c r="A1225" s="373" t="s">
        <v>662</v>
      </c>
      <c r="B1225" s="374">
        <v>200</v>
      </c>
      <c r="C1225" s="372" t="s">
        <v>1501</v>
      </c>
      <c r="D1225" s="382">
        <v>3166384</v>
      </c>
      <c r="E1225" s="383">
        <v>3138134.4</v>
      </c>
      <c r="F1225" s="384">
        <v>28249.6</v>
      </c>
      <c r="G1225" s="71" t="str">
        <f t="shared" si="20"/>
        <v>000</v>
      </c>
    </row>
    <row r="1226" spans="1:7" ht="33.75">
      <c r="A1226" s="373" t="s">
        <v>36</v>
      </c>
      <c r="B1226" s="374">
        <v>200</v>
      </c>
      <c r="C1226" s="372" t="s">
        <v>1502</v>
      </c>
      <c r="D1226" s="382">
        <v>887627</v>
      </c>
      <c r="E1226" s="383">
        <v>859377.4</v>
      </c>
      <c r="F1226" s="384">
        <v>28249.6</v>
      </c>
      <c r="G1226" s="71" t="str">
        <f t="shared" si="20"/>
        <v>100</v>
      </c>
    </row>
    <row r="1227" spans="1:7" ht="12.75">
      <c r="A1227" s="373" t="s">
        <v>41</v>
      </c>
      <c r="B1227" s="374">
        <v>200</v>
      </c>
      <c r="C1227" s="372" t="s">
        <v>1503</v>
      </c>
      <c r="D1227" s="382">
        <v>887627</v>
      </c>
      <c r="E1227" s="383">
        <v>859377.4</v>
      </c>
      <c r="F1227" s="384">
        <v>28249.6</v>
      </c>
      <c r="G1227" s="71" t="str">
        <f t="shared" si="20"/>
        <v>110</v>
      </c>
    </row>
    <row r="1228" spans="1:7" ht="12.75">
      <c r="A1228" s="370" t="s">
        <v>413</v>
      </c>
      <c r="B1228" s="371">
        <v>200</v>
      </c>
      <c r="C1228" s="369" t="s">
        <v>1504</v>
      </c>
      <c r="D1228" s="385">
        <v>271164</v>
      </c>
      <c r="E1228" s="380">
        <v>264543.6</v>
      </c>
      <c r="F1228" s="386">
        <v>6620.4</v>
      </c>
      <c r="G1228" s="71" t="str">
        <f t="shared" si="20"/>
        <v>112</v>
      </c>
    </row>
    <row r="1229" spans="1:7" ht="33.75">
      <c r="A1229" s="370" t="s">
        <v>2489</v>
      </c>
      <c r="B1229" s="371">
        <v>200</v>
      </c>
      <c r="C1229" s="369" t="s">
        <v>2495</v>
      </c>
      <c r="D1229" s="385">
        <v>616463</v>
      </c>
      <c r="E1229" s="380">
        <v>594833.8</v>
      </c>
      <c r="F1229" s="386">
        <v>21629.2</v>
      </c>
      <c r="G1229" s="71" t="str">
        <f t="shared" si="20"/>
        <v>113</v>
      </c>
    </row>
    <row r="1230" spans="1:7" ht="22.5">
      <c r="A1230" s="373" t="s">
        <v>411</v>
      </c>
      <c r="B1230" s="374">
        <v>200</v>
      </c>
      <c r="C1230" s="372" t="s">
        <v>1505</v>
      </c>
      <c r="D1230" s="382">
        <v>2278757</v>
      </c>
      <c r="E1230" s="383">
        <v>2278757</v>
      </c>
      <c r="F1230" s="384">
        <v>0</v>
      </c>
      <c r="G1230" s="71" t="str">
        <f t="shared" si="20"/>
        <v>200</v>
      </c>
    </row>
    <row r="1231" spans="1:7" ht="22.5">
      <c r="A1231" s="373" t="s">
        <v>38</v>
      </c>
      <c r="B1231" s="374">
        <v>200</v>
      </c>
      <c r="C1231" s="372" t="s">
        <v>1506</v>
      </c>
      <c r="D1231" s="382">
        <v>2278757</v>
      </c>
      <c r="E1231" s="383">
        <v>2278757</v>
      </c>
      <c r="F1231" s="384">
        <v>0</v>
      </c>
      <c r="G1231" s="71" t="str">
        <f t="shared" si="20"/>
        <v>240</v>
      </c>
    </row>
    <row r="1232" spans="1:7" ht="12.75">
      <c r="A1232" s="370" t="s">
        <v>1658</v>
      </c>
      <c r="B1232" s="371">
        <v>200</v>
      </c>
      <c r="C1232" s="369" t="s">
        <v>1507</v>
      </c>
      <c r="D1232" s="385">
        <v>2278757</v>
      </c>
      <c r="E1232" s="380">
        <v>2278757</v>
      </c>
      <c r="F1232" s="386">
        <v>0</v>
      </c>
      <c r="G1232" s="71" t="str">
        <f t="shared" si="20"/>
        <v>244</v>
      </c>
    </row>
    <row r="1233" spans="1:7" ht="101.25">
      <c r="A1233" s="377" t="s">
        <v>1614</v>
      </c>
      <c r="B1233" s="374">
        <v>200</v>
      </c>
      <c r="C1233" s="372" t="s">
        <v>1508</v>
      </c>
      <c r="D1233" s="382">
        <v>24454314.22</v>
      </c>
      <c r="E1233" s="383">
        <v>24170895.34</v>
      </c>
      <c r="F1233" s="384">
        <v>283418.88</v>
      </c>
      <c r="G1233" s="71" t="str">
        <f t="shared" si="20"/>
        <v>000</v>
      </c>
    </row>
    <row r="1234" spans="1:7" ht="33.75">
      <c r="A1234" s="373" t="s">
        <v>36</v>
      </c>
      <c r="B1234" s="374">
        <v>200</v>
      </c>
      <c r="C1234" s="372" t="s">
        <v>1509</v>
      </c>
      <c r="D1234" s="382">
        <v>23775654.95</v>
      </c>
      <c r="E1234" s="383">
        <v>23537552.5</v>
      </c>
      <c r="F1234" s="384">
        <v>238102.45</v>
      </c>
      <c r="G1234" s="71" t="str">
        <f t="shared" si="20"/>
        <v>100</v>
      </c>
    </row>
    <row r="1235" spans="1:7" ht="12.75">
      <c r="A1235" s="373" t="s">
        <v>41</v>
      </c>
      <c r="B1235" s="374">
        <v>200</v>
      </c>
      <c r="C1235" s="372" t="s">
        <v>1510</v>
      </c>
      <c r="D1235" s="382">
        <v>23775654.95</v>
      </c>
      <c r="E1235" s="383">
        <v>23537552.5</v>
      </c>
      <c r="F1235" s="384">
        <v>238102.45</v>
      </c>
      <c r="G1235" s="71" t="str">
        <f t="shared" si="20"/>
        <v>110</v>
      </c>
    </row>
    <row r="1236" spans="1:7" ht="12.75">
      <c r="A1236" s="370" t="s">
        <v>412</v>
      </c>
      <c r="B1236" s="371">
        <v>200</v>
      </c>
      <c r="C1236" s="369" t="s">
        <v>1511</v>
      </c>
      <c r="D1236" s="385">
        <v>15958508.1</v>
      </c>
      <c r="E1236" s="380">
        <v>15939356.99</v>
      </c>
      <c r="F1236" s="386">
        <v>19151.11</v>
      </c>
      <c r="G1236" s="71" t="str">
        <f t="shared" si="20"/>
        <v>111</v>
      </c>
    </row>
    <row r="1237" spans="1:7" ht="12.75">
      <c r="A1237" s="370" t="s">
        <v>413</v>
      </c>
      <c r="B1237" s="371">
        <v>200</v>
      </c>
      <c r="C1237" s="369" t="s">
        <v>1512</v>
      </c>
      <c r="D1237" s="385">
        <v>3021407.1</v>
      </c>
      <c r="E1237" s="380">
        <v>2859477.27</v>
      </c>
      <c r="F1237" s="386">
        <v>161929.83</v>
      </c>
      <c r="G1237" s="71" t="str">
        <f t="shared" si="20"/>
        <v>112</v>
      </c>
    </row>
    <row r="1238" spans="1:7" ht="22.5">
      <c r="A1238" s="370" t="s">
        <v>414</v>
      </c>
      <c r="B1238" s="371">
        <v>200</v>
      </c>
      <c r="C1238" s="369" t="s">
        <v>1513</v>
      </c>
      <c r="D1238" s="385">
        <v>4795739.75</v>
      </c>
      <c r="E1238" s="380">
        <v>4738718.24</v>
      </c>
      <c r="F1238" s="386">
        <v>57021.51</v>
      </c>
      <c r="G1238" s="71" t="str">
        <f t="shared" si="20"/>
        <v>119</v>
      </c>
    </row>
    <row r="1239" spans="1:7" ht="22.5">
      <c r="A1239" s="373" t="s">
        <v>411</v>
      </c>
      <c r="B1239" s="374">
        <v>200</v>
      </c>
      <c r="C1239" s="372" t="s">
        <v>1514</v>
      </c>
      <c r="D1239" s="382">
        <v>678659.27</v>
      </c>
      <c r="E1239" s="383">
        <v>633342.84</v>
      </c>
      <c r="F1239" s="384">
        <v>45316.43</v>
      </c>
      <c r="G1239" s="71" t="str">
        <f t="shared" si="20"/>
        <v>200</v>
      </c>
    </row>
    <row r="1240" spans="1:7" ht="22.5">
      <c r="A1240" s="373" t="s">
        <v>38</v>
      </c>
      <c r="B1240" s="374">
        <v>200</v>
      </c>
      <c r="C1240" s="372" t="s">
        <v>1515</v>
      </c>
      <c r="D1240" s="382">
        <v>678659.27</v>
      </c>
      <c r="E1240" s="383">
        <v>633342.84</v>
      </c>
      <c r="F1240" s="384">
        <v>45316.43</v>
      </c>
      <c r="G1240" s="71" t="str">
        <f t="shared" si="20"/>
        <v>240</v>
      </c>
    </row>
    <row r="1241" spans="1:7" ht="12.75">
      <c r="A1241" s="370" t="s">
        <v>1658</v>
      </c>
      <c r="B1241" s="371">
        <v>200</v>
      </c>
      <c r="C1241" s="369" t="s">
        <v>1516</v>
      </c>
      <c r="D1241" s="385">
        <v>678659.27</v>
      </c>
      <c r="E1241" s="380">
        <v>633342.84</v>
      </c>
      <c r="F1241" s="386">
        <v>45316.43</v>
      </c>
      <c r="G1241" s="71" t="str">
        <f t="shared" si="20"/>
        <v>244</v>
      </c>
    </row>
    <row r="1242" spans="1:7" ht="101.25">
      <c r="A1242" s="377" t="s">
        <v>1616</v>
      </c>
      <c r="B1242" s="374">
        <v>200</v>
      </c>
      <c r="C1242" s="372" t="s">
        <v>1517</v>
      </c>
      <c r="D1242" s="382">
        <v>220607200</v>
      </c>
      <c r="E1242" s="383">
        <v>220000379.57</v>
      </c>
      <c r="F1242" s="384">
        <v>606820.43</v>
      </c>
      <c r="G1242" s="71" t="str">
        <f aca="true" t="shared" si="21" ref="G1242:G1305">RIGHT(C1242,3)</f>
        <v>000</v>
      </c>
    </row>
    <row r="1243" spans="1:7" ht="33.75">
      <c r="A1243" s="373" t="s">
        <v>36</v>
      </c>
      <c r="B1243" s="374">
        <v>200</v>
      </c>
      <c r="C1243" s="372" t="s">
        <v>1518</v>
      </c>
      <c r="D1243" s="382">
        <v>213146532.08</v>
      </c>
      <c r="E1243" s="383">
        <v>212870097.64</v>
      </c>
      <c r="F1243" s="384">
        <v>276434.44</v>
      </c>
      <c r="G1243" s="71" t="str">
        <f t="shared" si="21"/>
        <v>100</v>
      </c>
    </row>
    <row r="1244" spans="1:7" ht="12.75">
      <c r="A1244" s="373" t="s">
        <v>41</v>
      </c>
      <c r="B1244" s="374">
        <v>200</v>
      </c>
      <c r="C1244" s="372" t="s">
        <v>1519</v>
      </c>
      <c r="D1244" s="382">
        <v>213146532.08</v>
      </c>
      <c r="E1244" s="383">
        <v>212870097.64</v>
      </c>
      <c r="F1244" s="384">
        <v>276434.44</v>
      </c>
      <c r="G1244" s="71" t="str">
        <f t="shared" si="21"/>
        <v>110</v>
      </c>
    </row>
    <row r="1245" spans="1:7" ht="12.75">
      <c r="A1245" s="370" t="s">
        <v>412</v>
      </c>
      <c r="B1245" s="371">
        <v>200</v>
      </c>
      <c r="C1245" s="369" t="s">
        <v>1520</v>
      </c>
      <c r="D1245" s="385">
        <v>140105632.33</v>
      </c>
      <c r="E1245" s="380">
        <v>140091286.15</v>
      </c>
      <c r="F1245" s="386">
        <v>14346.18</v>
      </c>
      <c r="G1245" s="71" t="str">
        <f t="shared" si="21"/>
        <v>111</v>
      </c>
    </row>
    <row r="1246" spans="1:7" ht="12.75">
      <c r="A1246" s="370" t="s">
        <v>413</v>
      </c>
      <c r="B1246" s="371">
        <v>200</v>
      </c>
      <c r="C1246" s="369" t="s">
        <v>1521</v>
      </c>
      <c r="D1246" s="385">
        <v>32151968.56</v>
      </c>
      <c r="E1246" s="380">
        <v>32135583.56</v>
      </c>
      <c r="F1246" s="386">
        <v>16385</v>
      </c>
      <c r="G1246" s="71" t="str">
        <f t="shared" si="21"/>
        <v>112</v>
      </c>
    </row>
    <row r="1247" spans="1:7" ht="22.5">
      <c r="A1247" s="370" t="s">
        <v>414</v>
      </c>
      <c r="B1247" s="371">
        <v>200</v>
      </c>
      <c r="C1247" s="369" t="s">
        <v>1522</v>
      </c>
      <c r="D1247" s="385">
        <v>40888931.19</v>
      </c>
      <c r="E1247" s="380">
        <v>40643227.93</v>
      </c>
      <c r="F1247" s="386">
        <v>245703.26</v>
      </c>
      <c r="G1247" s="71" t="str">
        <f t="shared" si="21"/>
        <v>119</v>
      </c>
    </row>
    <row r="1248" spans="1:7" ht="22.5">
      <c r="A1248" s="373" t="s">
        <v>411</v>
      </c>
      <c r="B1248" s="374">
        <v>200</v>
      </c>
      <c r="C1248" s="372" t="s">
        <v>1523</v>
      </c>
      <c r="D1248" s="382">
        <v>7460667.92</v>
      </c>
      <c r="E1248" s="383">
        <v>7130281.93</v>
      </c>
      <c r="F1248" s="384">
        <v>330385.99</v>
      </c>
      <c r="G1248" s="71" t="str">
        <f t="shared" si="21"/>
        <v>200</v>
      </c>
    </row>
    <row r="1249" spans="1:7" ht="22.5">
      <c r="A1249" s="373" t="s">
        <v>38</v>
      </c>
      <c r="B1249" s="374">
        <v>200</v>
      </c>
      <c r="C1249" s="372" t="s">
        <v>1524</v>
      </c>
      <c r="D1249" s="382">
        <v>7460667.92</v>
      </c>
      <c r="E1249" s="383">
        <v>7130281.93</v>
      </c>
      <c r="F1249" s="384">
        <v>330385.99</v>
      </c>
      <c r="G1249" s="71" t="str">
        <f t="shared" si="21"/>
        <v>240</v>
      </c>
    </row>
    <row r="1250" spans="1:7" ht="12.75">
      <c r="A1250" s="370" t="s">
        <v>1658</v>
      </c>
      <c r="B1250" s="371">
        <v>200</v>
      </c>
      <c r="C1250" s="369" t="s">
        <v>1525</v>
      </c>
      <c r="D1250" s="385">
        <v>7460667.92</v>
      </c>
      <c r="E1250" s="380">
        <v>7130281.93</v>
      </c>
      <c r="F1250" s="386">
        <v>330385.99</v>
      </c>
      <c r="G1250" s="71" t="str">
        <f t="shared" si="21"/>
        <v>244</v>
      </c>
    </row>
    <row r="1251" spans="1:7" ht="112.5">
      <c r="A1251" s="377" t="s">
        <v>1617</v>
      </c>
      <c r="B1251" s="374">
        <v>200</v>
      </c>
      <c r="C1251" s="372" t="s">
        <v>1526</v>
      </c>
      <c r="D1251" s="382">
        <v>643658700</v>
      </c>
      <c r="E1251" s="383">
        <v>642248878.89</v>
      </c>
      <c r="F1251" s="384">
        <v>1409821.11</v>
      </c>
      <c r="G1251" s="71" t="str">
        <f t="shared" si="21"/>
        <v>000</v>
      </c>
    </row>
    <row r="1252" spans="1:7" ht="33.75">
      <c r="A1252" s="373" t="s">
        <v>36</v>
      </c>
      <c r="B1252" s="374">
        <v>200</v>
      </c>
      <c r="C1252" s="372" t="s">
        <v>1527</v>
      </c>
      <c r="D1252" s="382">
        <v>614734726.06</v>
      </c>
      <c r="E1252" s="383">
        <v>614377269.06</v>
      </c>
      <c r="F1252" s="384">
        <v>357457</v>
      </c>
      <c r="G1252" s="71" t="str">
        <f t="shared" si="21"/>
        <v>100</v>
      </c>
    </row>
    <row r="1253" spans="1:7" ht="12.75">
      <c r="A1253" s="373" t="s">
        <v>41</v>
      </c>
      <c r="B1253" s="374">
        <v>200</v>
      </c>
      <c r="C1253" s="372" t="s">
        <v>1528</v>
      </c>
      <c r="D1253" s="382">
        <v>614734726.06</v>
      </c>
      <c r="E1253" s="383">
        <v>614377269.06</v>
      </c>
      <c r="F1253" s="384">
        <v>357457</v>
      </c>
      <c r="G1253" s="71" t="str">
        <f t="shared" si="21"/>
        <v>110</v>
      </c>
    </row>
    <row r="1254" spans="1:7" ht="12.75">
      <c r="A1254" s="370" t="s">
        <v>412</v>
      </c>
      <c r="B1254" s="371">
        <v>200</v>
      </c>
      <c r="C1254" s="369" t="s">
        <v>1529</v>
      </c>
      <c r="D1254" s="385">
        <v>478753214.07</v>
      </c>
      <c r="E1254" s="380">
        <v>478753214.06</v>
      </c>
      <c r="F1254" s="386">
        <v>0.01</v>
      </c>
      <c r="G1254" s="71" t="str">
        <f t="shared" si="21"/>
        <v>111</v>
      </c>
    </row>
    <row r="1255" spans="1:7" ht="12.75">
      <c r="A1255" s="370" t="s">
        <v>413</v>
      </c>
      <c r="B1255" s="371">
        <v>200</v>
      </c>
      <c r="C1255" s="369" t="s">
        <v>1530</v>
      </c>
      <c r="D1255" s="385">
        <v>941504.87</v>
      </c>
      <c r="E1255" s="380">
        <v>941324.87</v>
      </c>
      <c r="F1255" s="386">
        <v>180</v>
      </c>
      <c r="G1255" s="71" t="str">
        <f t="shared" si="21"/>
        <v>112</v>
      </c>
    </row>
    <row r="1256" spans="1:7" ht="33.75">
      <c r="A1256" s="370" t="s">
        <v>2489</v>
      </c>
      <c r="B1256" s="371">
        <v>200</v>
      </c>
      <c r="C1256" s="369" t="s">
        <v>2496</v>
      </c>
      <c r="D1256" s="385">
        <v>7400</v>
      </c>
      <c r="E1256" s="380">
        <v>7400</v>
      </c>
      <c r="F1256" s="386">
        <v>0</v>
      </c>
      <c r="G1256" s="71" t="str">
        <f t="shared" si="21"/>
        <v>113</v>
      </c>
    </row>
    <row r="1257" spans="1:7" ht="22.5">
      <c r="A1257" s="370" t="s">
        <v>414</v>
      </c>
      <c r="B1257" s="371">
        <v>200</v>
      </c>
      <c r="C1257" s="369" t="s">
        <v>1531</v>
      </c>
      <c r="D1257" s="385">
        <v>135032607.12</v>
      </c>
      <c r="E1257" s="380">
        <v>134675330.13</v>
      </c>
      <c r="F1257" s="386">
        <v>357276.99</v>
      </c>
      <c r="G1257" s="71" t="str">
        <f t="shared" si="21"/>
        <v>119</v>
      </c>
    </row>
    <row r="1258" spans="1:7" ht="22.5">
      <c r="A1258" s="373" t="s">
        <v>411</v>
      </c>
      <c r="B1258" s="374">
        <v>200</v>
      </c>
      <c r="C1258" s="372" t="s">
        <v>1532</v>
      </c>
      <c r="D1258" s="382">
        <v>28923973.94</v>
      </c>
      <c r="E1258" s="383">
        <v>27871609.83</v>
      </c>
      <c r="F1258" s="384">
        <v>1052364.11</v>
      </c>
      <c r="G1258" s="71" t="str">
        <f t="shared" si="21"/>
        <v>200</v>
      </c>
    </row>
    <row r="1259" spans="1:7" ht="22.5">
      <c r="A1259" s="373" t="s">
        <v>38</v>
      </c>
      <c r="B1259" s="374">
        <v>200</v>
      </c>
      <c r="C1259" s="372" t="s">
        <v>1533</v>
      </c>
      <c r="D1259" s="382">
        <v>28923973.94</v>
      </c>
      <c r="E1259" s="383">
        <v>27871609.83</v>
      </c>
      <c r="F1259" s="384">
        <v>1052364.11</v>
      </c>
      <c r="G1259" s="71" t="str">
        <f t="shared" si="21"/>
        <v>240</v>
      </c>
    </row>
    <row r="1260" spans="1:7" ht="12.75">
      <c r="A1260" s="370" t="s">
        <v>1658</v>
      </c>
      <c r="B1260" s="371">
        <v>200</v>
      </c>
      <c r="C1260" s="369" t="s">
        <v>1534</v>
      </c>
      <c r="D1260" s="385">
        <v>28923973.94</v>
      </c>
      <c r="E1260" s="380">
        <v>27871609.83</v>
      </c>
      <c r="F1260" s="386">
        <v>1052364.11</v>
      </c>
      <c r="G1260" s="71" t="str">
        <f t="shared" si="21"/>
        <v>244</v>
      </c>
    </row>
    <row r="1261" spans="1:7" ht="101.25">
      <c r="A1261" s="377" t="s">
        <v>1615</v>
      </c>
      <c r="B1261" s="374">
        <v>200</v>
      </c>
      <c r="C1261" s="372" t="s">
        <v>1535</v>
      </c>
      <c r="D1261" s="382">
        <v>43579587.24</v>
      </c>
      <c r="E1261" s="383">
        <v>40918790.1</v>
      </c>
      <c r="F1261" s="384">
        <v>2660797.14</v>
      </c>
      <c r="G1261" s="71" t="str">
        <f t="shared" si="21"/>
        <v>000</v>
      </c>
    </row>
    <row r="1262" spans="1:7" ht="33.75">
      <c r="A1262" s="373" t="s">
        <v>36</v>
      </c>
      <c r="B1262" s="374">
        <v>200</v>
      </c>
      <c r="C1262" s="372" t="s">
        <v>1536</v>
      </c>
      <c r="D1262" s="382">
        <v>42379077.12</v>
      </c>
      <c r="E1262" s="383">
        <v>39799466.87</v>
      </c>
      <c r="F1262" s="384">
        <v>2579610.25</v>
      </c>
      <c r="G1262" s="71" t="str">
        <f t="shared" si="21"/>
        <v>100</v>
      </c>
    </row>
    <row r="1263" spans="1:7" ht="12.75">
      <c r="A1263" s="373" t="s">
        <v>41</v>
      </c>
      <c r="B1263" s="374">
        <v>200</v>
      </c>
      <c r="C1263" s="372" t="s">
        <v>1537</v>
      </c>
      <c r="D1263" s="382">
        <v>42379077.12</v>
      </c>
      <c r="E1263" s="383">
        <v>39799466.87</v>
      </c>
      <c r="F1263" s="384">
        <v>2579610.25</v>
      </c>
      <c r="G1263" s="71" t="str">
        <f t="shared" si="21"/>
        <v>110</v>
      </c>
    </row>
    <row r="1264" spans="1:7" ht="12.75">
      <c r="A1264" s="370" t="s">
        <v>412</v>
      </c>
      <c r="B1264" s="371">
        <v>200</v>
      </c>
      <c r="C1264" s="369" t="s">
        <v>1538</v>
      </c>
      <c r="D1264" s="385">
        <v>32704164.81</v>
      </c>
      <c r="E1264" s="380">
        <v>30371041.59</v>
      </c>
      <c r="F1264" s="386">
        <v>2333123.22</v>
      </c>
      <c r="G1264" s="71" t="str">
        <f t="shared" si="21"/>
        <v>111</v>
      </c>
    </row>
    <row r="1265" spans="1:7" ht="12.75">
      <c r="A1265" s="370" t="s">
        <v>413</v>
      </c>
      <c r="B1265" s="371">
        <v>200</v>
      </c>
      <c r="C1265" s="369" t="s">
        <v>1539</v>
      </c>
      <c r="D1265" s="385">
        <v>29789.08</v>
      </c>
      <c r="E1265" s="380">
        <v>29789.08</v>
      </c>
      <c r="F1265" s="386">
        <v>0</v>
      </c>
      <c r="G1265" s="71" t="str">
        <f t="shared" si="21"/>
        <v>112</v>
      </c>
    </row>
    <row r="1266" spans="1:7" ht="22.5">
      <c r="A1266" s="370" t="s">
        <v>414</v>
      </c>
      <c r="B1266" s="371">
        <v>200</v>
      </c>
      <c r="C1266" s="369" t="s">
        <v>1540</v>
      </c>
      <c r="D1266" s="385">
        <v>9645123.23</v>
      </c>
      <c r="E1266" s="380">
        <v>9398636.2</v>
      </c>
      <c r="F1266" s="386">
        <v>246487.03</v>
      </c>
      <c r="G1266" s="71" t="str">
        <f t="shared" si="21"/>
        <v>119</v>
      </c>
    </row>
    <row r="1267" spans="1:7" ht="22.5">
      <c r="A1267" s="373" t="s">
        <v>411</v>
      </c>
      <c r="B1267" s="374">
        <v>200</v>
      </c>
      <c r="C1267" s="372" t="s">
        <v>1541</v>
      </c>
      <c r="D1267" s="382">
        <v>1200510.12</v>
      </c>
      <c r="E1267" s="383">
        <v>1119323.23</v>
      </c>
      <c r="F1267" s="384">
        <v>81186.89</v>
      </c>
      <c r="G1267" s="71" t="str">
        <f t="shared" si="21"/>
        <v>200</v>
      </c>
    </row>
    <row r="1268" spans="1:7" ht="22.5">
      <c r="A1268" s="373" t="s">
        <v>38</v>
      </c>
      <c r="B1268" s="374">
        <v>200</v>
      </c>
      <c r="C1268" s="372" t="s">
        <v>1542</v>
      </c>
      <c r="D1268" s="382">
        <v>1200510.12</v>
      </c>
      <c r="E1268" s="383">
        <v>1119323.23</v>
      </c>
      <c r="F1268" s="384">
        <v>81186.89</v>
      </c>
      <c r="G1268" s="71" t="str">
        <f t="shared" si="21"/>
        <v>240</v>
      </c>
    </row>
    <row r="1269" spans="1:7" ht="12.75">
      <c r="A1269" s="370" t="s">
        <v>1658</v>
      </c>
      <c r="B1269" s="371">
        <v>200</v>
      </c>
      <c r="C1269" s="369" t="s">
        <v>1543</v>
      </c>
      <c r="D1269" s="385">
        <v>1200510.12</v>
      </c>
      <c r="E1269" s="380">
        <v>1119323.23</v>
      </c>
      <c r="F1269" s="386">
        <v>81186.89</v>
      </c>
      <c r="G1269" s="71" t="str">
        <f t="shared" si="21"/>
        <v>244</v>
      </c>
    </row>
    <row r="1270" spans="1:7" ht="22.5">
      <c r="A1270" s="373" t="s">
        <v>2233</v>
      </c>
      <c r="B1270" s="374">
        <v>200</v>
      </c>
      <c r="C1270" s="372" t="s">
        <v>685</v>
      </c>
      <c r="D1270" s="382">
        <v>88400</v>
      </c>
      <c r="E1270" s="383">
        <v>88400</v>
      </c>
      <c r="F1270" s="384">
        <v>0</v>
      </c>
      <c r="G1270" s="71" t="str">
        <f t="shared" si="21"/>
        <v>000</v>
      </c>
    </row>
    <row r="1271" spans="1:7" ht="22.5">
      <c r="A1271" s="373" t="s">
        <v>411</v>
      </c>
      <c r="B1271" s="374">
        <v>200</v>
      </c>
      <c r="C1271" s="372" t="s">
        <v>684</v>
      </c>
      <c r="D1271" s="382">
        <v>88400</v>
      </c>
      <c r="E1271" s="383">
        <v>88400</v>
      </c>
      <c r="F1271" s="384">
        <v>0</v>
      </c>
      <c r="G1271" s="71" t="str">
        <f t="shared" si="21"/>
        <v>200</v>
      </c>
    </row>
    <row r="1272" spans="1:7" ht="22.5">
      <c r="A1272" s="373" t="s">
        <v>38</v>
      </c>
      <c r="B1272" s="374">
        <v>200</v>
      </c>
      <c r="C1272" s="372" t="s">
        <v>683</v>
      </c>
      <c r="D1272" s="382">
        <v>88400</v>
      </c>
      <c r="E1272" s="383">
        <v>88400</v>
      </c>
      <c r="F1272" s="384">
        <v>0</v>
      </c>
      <c r="G1272" s="71" t="str">
        <f t="shared" si="21"/>
        <v>240</v>
      </c>
    </row>
    <row r="1273" spans="1:7" ht="12.75">
      <c r="A1273" s="370" t="s">
        <v>1658</v>
      </c>
      <c r="B1273" s="371">
        <v>200</v>
      </c>
      <c r="C1273" s="369" t="s">
        <v>682</v>
      </c>
      <c r="D1273" s="385">
        <v>88400</v>
      </c>
      <c r="E1273" s="380">
        <v>88400</v>
      </c>
      <c r="F1273" s="386">
        <v>0</v>
      </c>
      <c r="G1273" s="71" t="str">
        <f t="shared" si="21"/>
        <v>244</v>
      </c>
    </row>
    <row r="1274" spans="1:7" ht="12.75">
      <c r="A1274" s="373" t="s">
        <v>1741</v>
      </c>
      <c r="B1274" s="374">
        <v>200</v>
      </c>
      <c r="C1274" s="372" t="s">
        <v>1466</v>
      </c>
      <c r="D1274" s="382">
        <v>2323808</v>
      </c>
      <c r="E1274" s="383">
        <v>2323788.07</v>
      </c>
      <c r="F1274" s="384">
        <v>19.93</v>
      </c>
      <c r="G1274" s="71" t="str">
        <f t="shared" si="21"/>
        <v>000</v>
      </c>
    </row>
    <row r="1275" spans="1:7" ht="22.5">
      <c r="A1275" s="373" t="s">
        <v>411</v>
      </c>
      <c r="B1275" s="374">
        <v>200</v>
      </c>
      <c r="C1275" s="372" t="s">
        <v>1467</v>
      </c>
      <c r="D1275" s="382">
        <v>2323808</v>
      </c>
      <c r="E1275" s="383">
        <v>2323788.07</v>
      </c>
      <c r="F1275" s="384">
        <v>19.93</v>
      </c>
      <c r="G1275" s="71" t="str">
        <f t="shared" si="21"/>
        <v>200</v>
      </c>
    </row>
    <row r="1276" spans="1:7" ht="22.5">
      <c r="A1276" s="373" t="s">
        <v>38</v>
      </c>
      <c r="B1276" s="374">
        <v>200</v>
      </c>
      <c r="C1276" s="372" t="s">
        <v>1468</v>
      </c>
      <c r="D1276" s="382">
        <v>2323808</v>
      </c>
      <c r="E1276" s="383">
        <v>2323788.07</v>
      </c>
      <c r="F1276" s="384">
        <v>19.93</v>
      </c>
      <c r="G1276" s="71" t="str">
        <f t="shared" si="21"/>
        <v>240</v>
      </c>
    </row>
    <row r="1277" spans="1:7" ht="12.75">
      <c r="A1277" s="370" t="s">
        <v>1658</v>
      </c>
      <c r="B1277" s="371">
        <v>200</v>
      </c>
      <c r="C1277" s="369" t="s">
        <v>2234</v>
      </c>
      <c r="D1277" s="385">
        <v>2323808</v>
      </c>
      <c r="E1277" s="380">
        <v>2323788.07</v>
      </c>
      <c r="F1277" s="386">
        <v>19.93</v>
      </c>
      <c r="G1277" s="71" t="str">
        <f t="shared" si="21"/>
        <v>244</v>
      </c>
    </row>
    <row r="1278" spans="1:7" ht="33.75">
      <c r="A1278" s="373" t="s">
        <v>2095</v>
      </c>
      <c r="B1278" s="374">
        <v>200</v>
      </c>
      <c r="C1278" s="372" t="s">
        <v>2128</v>
      </c>
      <c r="D1278" s="382">
        <v>1974200</v>
      </c>
      <c r="E1278" s="383">
        <v>1974159.11</v>
      </c>
      <c r="F1278" s="384">
        <v>40.89</v>
      </c>
      <c r="G1278" s="71" t="str">
        <f t="shared" si="21"/>
        <v>000</v>
      </c>
    </row>
    <row r="1279" spans="1:7" ht="22.5">
      <c r="A1279" s="373" t="s">
        <v>411</v>
      </c>
      <c r="B1279" s="374">
        <v>200</v>
      </c>
      <c r="C1279" s="372" t="s">
        <v>2129</v>
      </c>
      <c r="D1279" s="382">
        <v>1974200</v>
      </c>
      <c r="E1279" s="383">
        <v>1974159.11</v>
      </c>
      <c r="F1279" s="384">
        <v>40.89</v>
      </c>
      <c r="G1279" s="71" t="str">
        <f t="shared" si="21"/>
        <v>200</v>
      </c>
    </row>
    <row r="1280" spans="1:7" ht="22.5">
      <c r="A1280" s="373" t="s">
        <v>38</v>
      </c>
      <c r="B1280" s="374">
        <v>200</v>
      </c>
      <c r="C1280" s="372" t="s">
        <v>2130</v>
      </c>
      <c r="D1280" s="382">
        <v>1974200</v>
      </c>
      <c r="E1280" s="383">
        <v>1974159.11</v>
      </c>
      <c r="F1280" s="384">
        <v>40.89</v>
      </c>
      <c r="G1280" s="71" t="str">
        <f t="shared" si="21"/>
        <v>240</v>
      </c>
    </row>
    <row r="1281" spans="1:7" ht="22.5">
      <c r="A1281" s="370" t="s">
        <v>637</v>
      </c>
      <c r="B1281" s="371">
        <v>200</v>
      </c>
      <c r="C1281" s="369" t="s">
        <v>2131</v>
      </c>
      <c r="D1281" s="385">
        <v>1974200</v>
      </c>
      <c r="E1281" s="380">
        <v>1974159.11</v>
      </c>
      <c r="F1281" s="386">
        <v>40.89</v>
      </c>
      <c r="G1281" s="71" t="str">
        <f t="shared" si="21"/>
        <v>243</v>
      </c>
    </row>
    <row r="1282" spans="1:7" ht="12.75">
      <c r="A1282" s="373" t="s">
        <v>243</v>
      </c>
      <c r="B1282" s="374">
        <v>200</v>
      </c>
      <c r="C1282" s="372" t="s">
        <v>1909</v>
      </c>
      <c r="D1282" s="382">
        <v>26265244.28</v>
      </c>
      <c r="E1282" s="383">
        <v>26265244.28</v>
      </c>
      <c r="F1282" s="384">
        <v>0</v>
      </c>
      <c r="G1282" s="71" t="str">
        <f t="shared" si="21"/>
        <v>000</v>
      </c>
    </row>
    <row r="1283" spans="1:7" ht="33.75">
      <c r="A1283" s="373" t="s">
        <v>2092</v>
      </c>
      <c r="B1283" s="374">
        <v>200</v>
      </c>
      <c r="C1283" s="372" t="s">
        <v>2132</v>
      </c>
      <c r="D1283" s="382">
        <v>12135455</v>
      </c>
      <c r="E1283" s="383">
        <v>12135455</v>
      </c>
      <c r="F1283" s="384">
        <v>0</v>
      </c>
      <c r="G1283" s="71" t="str">
        <f t="shared" si="21"/>
        <v>000</v>
      </c>
    </row>
    <row r="1284" spans="1:7" ht="33.75">
      <c r="A1284" s="373" t="s">
        <v>36</v>
      </c>
      <c r="B1284" s="374">
        <v>200</v>
      </c>
      <c r="C1284" s="372" t="s">
        <v>2133</v>
      </c>
      <c r="D1284" s="382">
        <v>12135455</v>
      </c>
      <c r="E1284" s="383">
        <v>12135455</v>
      </c>
      <c r="F1284" s="384">
        <v>0</v>
      </c>
      <c r="G1284" s="71" t="str">
        <f t="shared" si="21"/>
        <v>100</v>
      </c>
    </row>
    <row r="1285" spans="1:7" ht="12.75">
      <c r="A1285" s="373" t="s">
        <v>41</v>
      </c>
      <c r="B1285" s="374">
        <v>200</v>
      </c>
      <c r="C1285" s="372" t="s">
        <v>2134</v>
      </c>
      <c r="D1285" s="382">
        <v>12135455</v>
      </c>
      <c r="E1285" s="383">
        <v>12135455</v>
      </c>
      <c r="F1285" s="384">
        <v>0</v>
      </c>
      <c r="G1285" s="71" t="str">
        <f t="shared" si="21"/>
        <v>110</v>
      </c>
    </row>
    <row r="1286" spans="1:7" ht="12.75">
      <c r="A1286" s="370" t="s">
        <v>412</v>
      </c>
      <c r="B1286" s="371">
        <v>200</v>
      </c>
      <c r="C1286" s="369" t="s">
        <v>2135</v>
      </c>
      <c r="D1286" s="385">
        <v>9320685</v>
      </c>
      <c r="E1286" s="380">
        <v>9320685</v>
      </c>
      <c r="F1286" s="386">
        <v>0</v>
      </c>
      <c r="G1286" s="71" t="str">
        <f t="shared" si="21"/>
        <v>111</v>
      </c>
    </row>
    <row r="1287" spans="1:7" ht="22.5">
      <c r="A1287" s="370" t="s">
        <v>414</v>
      </c>
      <c r="B1287" s="371">
        <v>200</v>
      </c>
      <c r="C1287" s="369" t="s">
        <v>2136</v>
      </c>
      <c r="D1287" s="385">
        <v>2814770</v>
      </c>
      <c r="E1287" s="380">
        <v>2814770</v>
      </c>
      <c r="F1287" s="386">
        <v>0</v>
      </c>
      <c r="G1287" s="71" t="str">
        <f t="shared" si="21"/>
        <v>119</v>
      </c>
    </row>
    <row r="1288" spans="1:7" ht="22.5">
      <c r="A1288" s="373" t="s">
        <v>1811</v>
      </c>
      <c r="B1288" s="374">
        <v>200</v>
      </c>
      <c r="C1288" s="372" t="s">
        <v>1910</v>
      </c>
      <c r="D1288" s="382">
        <v>10268145.58</v>
      </c>
      <c r="E1288" s="383">
        <v>10268145.58</v>
      </c>
      <c r="F1288" s="384">
        <v>0</v>
      </c>
      <c r="G1288" s="71" t="str">
        <f t="shared" si="21"/>
        <v>000</v>
      </c>
    </row>
    <row r="1289" spans="1:7" ht="33.75">
      <c r="A1289" s="373" t="s">
        <v>36</v>
      </c>
      <c r="B1289" s="374">
        <v>200</v>
      </c>
      <c r="C1289" s="372" t="s">
        <v>1911</v>
      </c>
      <c r="D1289" s="382">
        <v>10268145.58</v>
      </c>
      <c r="E1289" s="383">
        <v>10268145.58</v>
      </c>
      <c r="F1289" s="384">
        <v>0</v>
      </c>
      <c r="G1289" s="71" t="str">
        <f t="shared" si="21"/>
        <v>100</v>
      </c>
    </row>
    <row r="1290" spans="1:7" ht="12.75">
      <c r="A1290" s="373" t="s">
        <v>41</v>
      </c>
      <c r="B1290" s="374">
        <v>200</v>
      </c>
      <c r="C1290" s="372" t="s">
        <v>1912</v>
      </c>
      <c r="D1290" s="382">
        <v>10268145.58</v>
      </c>
      <c r="E1290" s="383">
        <v>10268145.58</v>
      </c>
      <c r="F1290" s="384">
        <v>0</v>
      </c>
      <c r="G1290" s="71" t="str">
        <f t="shared" si="21"/>
        <v>110</v>
      </c>
    </row>
    <row r="1291" spans="1:7" ht="12.75">
      <c r="A1291" s="370" t="s">
        <v>412</v>
      </c>
      <c r="B1291" s="371">
        <v>200</v>
      </c>
      <c r="C1291" s="369" t="s">
        <v>1913</v>
      </c>
      <c r="D1291" s="385">
        <v>7901168.95</v>
      </c>
      <c r="E1291" s="380">
        <v>7901168.95</v>
      </c>
      <c r="F1291" s="386">
        <v>0</v>
      </c>
      <c r="G1291" s="71" t="str">
        <f t="shared" si="21"/>
        <v>111</v>
      </c>
    </row>
    <row r="1292" spans="1:7" ht="22.5">
      <c r="A1292" s="370" t="s">
        <v>414</v>
      </c>
      <c r="B1292" s="371">
        <v>200</v>
      </c>
      <c r="C1292" s="369" t="s">
        <v>1914</v>
      </c>
      <c r="D1292" s="385">
        <v>2366976.63</v>
      </c>
      <c r="E1292" s="380">
        <v>2366976.63</v>
      </c>
      <c r="F1292" s="386">
        <v>0</v>
      </c>
      <c r="G1292" s="71" t="str">
        <f t="shared" si="21"/>
        <v>119</v>
      </c>
    </row>
    <row r="1293" spans="1:7" ht="12.75">
      <c r="A1293" s="373" t="s">
        <v>1915</v>
      </c>
      <c r="B1293" s="374">
        <v>200</v>
      </c>
      <c r="C1293" s="372" t="s">
        <v>1916</v>
      </c>
      <c r="D1293" s="382">
        <v>1903140</v>
      </c>
      <c r="E1293" s="383">
        <v>1903140</v>
      </c>
      <c r="F1293" s="384">
        <v>0</v>
      </c>
      <c r="G1293" s="71" t="str">
        <f t="shared" si="21"/>
        <v>000</v>
      </c>
    </row>
    <row r="1294" spans="1:7" ht="22.5">
      <c r="A1294" s="373" t="s">
        <v>411</v>
      </c>
      <c r="B1294" s="374">
        <v>200</v>
      </c>
      <c r="C1294" s="372" t="s">
        <v>1917</v>
      </c>
      <c r="D1294" s="382">
        <v>1903140</v>
      </c>
      <c r="E1294" s="383">
        <v>1903140</v>
      </c>
      <c r="F1294" s="384">
        <v>0</v>
      </c>
      <c r="G1294" s="71" t="str">
        <f t="shared" si="21"/>
        <v>200</v>
      </c>
    </row>
    <row r="1295" spans="1:7" ht="22.5">
      <c r="A1295" s="373" t="s">
        <v>38</v>
      </c>
      <c r="B1295" s="374">
        <v>200</v>
      </c>
      <c r="C1295" s="372" t="s">
        <v>1918</v>
      </c>
      <c r="D1295" s="382">
        <v>1903140</v>
      </c>
      <c r="E1295" s="383">
        <v>1903140</v>
      </c>
      <c r="F1295" s="384">
        <v>0</v>
      </c>
      <c r="G1295" s="71" t="str">
        <f t="shared" si="21"/>
        <v>240</v>
      </c>
    </row>
    <row r="1296" spans="1:7" ht="22.5">
      <c r="A1296" s="370" t="s">
        <v>637</v>
      </c>
      <c r="B1296" s="371">
        <v>200</v>
      </c>
      <c r="C1296" s="369" t="s">
        <v>1919</v>
      </c>
      <c r="D1296" s="385">
        <v>1903140</v>
      </c>
      <c r="E1296" s="380">
        <v>1903140</v>
      </c>
      <c r="F1296" s="386">
        <v>0</v>
      </c>
      <c r="G1296" s="71" t="str">
        <f t="shared" si="21"/>
        <v>243</v>
      </c>
    </row>
    <row r="1297" spans="1:7" ht="22.5">
      <c r="A1297" s="373" t="s">
        <v>2326</v>
      </c>
      <c r="B1297" s="374">
        <v>200</v>
      </c>
      <c r="C1297" s="372" t="s">
        <v>2327</v>
      </c>
      <c r="D1297" s="382">
        <v>1958503.7</v>
      </c>
      <c r="E1297" s="383">
        <v>1958503.7</v>
      </c>
      <c r="F1297" s="384">
        <v>0</v>
      </c>
      <c r="G1297" s="71" t="str">
        <f t="shared" si="21"/>
        <v>000</v>
      </c>
    </row>
    <row r="1298" spans="1:7" ht="22.5">
      <c r="A1298" s="373" t="s">
        <v>411</v>
      </c>
      <c r="B1298" s="374">
        <v>200</v>
      </c>
      <c r="C1298" s="372" t="s">
        <v>2328</v>
      </c>
      <c r="D1298" s="382">
        <v>1958503.7</v>
      </c>
      <c r="E1298" s="383">
        <v>1958503.7</v>
      </c>
      <c r="F1298" s="384">
        <v>0</v>
      </c>
      <c r="G1298" s="71" t="str">
        <f t="shared" si="21"/>
        <v>200</v>
      </c>
    </row>
    <row r="1299" spans="1:7" ht="22.5">
      <c r="A1299" s="373" t="s">
        <v>38</v>
      </c>
      <c r="B1299" s="374">
        <v>200</v>
      </c>
      <c r="C1299" s="372" t="s">
        <v>2329</v>
      </c>
      <c r="D1299" s="382">
        <v>1958503.7</v>
      </c>
      <c r="E1299" s="383">
        <v>1958503.7</v>
      </c>
      <c r="F1299" s="384">
        <v>0</v>
      </c>
      <c r="G1299" s="71" t="str">
        <f t="shared" si="21"/>
        <v>240</v>
      </c>
    </row>
    <row r="1300" spans="1:7" ht="12.75">
      <c r="A1300" s="370" t="s">
        <v>1658</v>
      </c>
      <c r="B1300" s="371">
        <v>200</v>
      </c>
      <c r="C1300" s="369" t="s">
        <v>2330</v>
      </c>
      <c r="D1300" s="385">
        <v>1958503.7</v>
      </c>
      <c r="E1300" s="380">
        <v>1958503.7</v>
      </c>
      <c r="F1300" s="386">
        <v>0</v>
      </c>
      <c r="G1300" s="71" t="str">
        <f t="shared" si="21"/>
        <v>244</v>
      </c>
    </row>
    <row r="1301" spans="1:7" ht="12.75">
      <c r="A1301" s="373" t="s">
        <v>472</v>
      </c>
      <c r="B1301" s="374">
        <v>200</v>
      </c>
      <c r="C1301" s="372" t="s">
        <v>19</v>
      </c>
      <c r="D1301" s="382">
        <v>160524937.18</v>
      </c>
      <c r="E1301" s="383">
        <v>159637067.44</v>
      </c>
      <c r="F1301" s="384">
        <v>887869.74</v>
      </c>
      <c r="G1301" s="71" t="str">
        <f t="shared" si="21"/>
        <v>000</v>
      </c>
    </row>
    <row r="1302" spans="1:7" ht="33.75">
      <c r="A1302" s="373" t="s">
        <v>1410</v>
      </c>
      <c r="B1302" s="374">
        <v>200</v>
      </c>
      <c r="C1302" s="372" t="s">
        <v>20</v>
      </c>
      <c r="D1302" s="382">
        <v>146585797.42</v>
      </c>
      <c r="E1302" s="383">
        <v>145697927.68</v>
      </c>
      <c r="F1302" s="384">
        <v>887869.74</v>
      </c>
      <c r="G1302" s="71" t="str">
        <f t="shared" si="21"/>
        <v>000</v>
      </c>
    </row>
    <row r="1303" spans="1:7" ht="22.5">
      <c r="A1303" s="373" t="s">
        <v>660</v>
      </c>
      <c r="B1303" s="374">
        <v>200</v>
      </c>
      <c r="C1303" s="372" t="s">
        <v>21</v>
      </c>
      <c r="D1303" s="382">
        <v>146585797.42</v>
      </c>
      <c r="E1303" s="383">
        <v>145697927.68</v>
      </c>
      <c r="F1303" s="384">
        <v>887869.74</v>
      </c>
      <c r="G1303" s="71" t="str">
        <f t="shared" si="21"/>
        <v>000</v>
      </c>
    </row>
    <row r="1304" spans="1:7" ht="33.75">
      <c r="A1304" s="373" t="s">
        <v>36</v>
      </c>
      <c r="B1304" s="374">
        <v>200</v>
      </c>
      <c r="C1304" s="372" t="s">
        <v>22</v>
      </c>
      <c r="D1304" s="382">
        <v>113762561.1</v>
      </c>
      <c r="E1304" s="383">
        <v>113745440.49</v>
      </c>
      <c r="F1304" s="384">
        <v>17120.61</v>
      </c>
      <c r="G1304" s="71" t="str">
        <f t="shared" si="21"/>
        <v>100</v>
      </c>
    </row>
    <row r="1305" spans="1:7" ht="12.75">
      <c r="A1305" s="373" t="s">
        <v>41</v>
      </c>
      <c r="B1305" s="374">
        <v>200</v>
      </c>
      <c r="C1305" s="372" t="s">
        <v>23</v>
      </c>
      <c r="D1305" s="382">
        <v>113762561.1</v>
      </c>
      <c r="E1305" s="383">
        <v>113745440.49</v>
      </c>
      <c r="F1305" s="384">
        <v>17120.61</v>
      </c>
      <c r="G1305" s="71" t="str">
        <f t="shared" si="21"/>
        <v>110</v>
      </c>
    </row>
    <row r="1306" spans="1:7" ht="12.75">
      <c r="A1306" s="370" t="s">
        <v>412</v>
      </c>
      <c r="B1306" s="371">
        <v>200</v>
      </c>
      <c r="C1306" s="369" t="s">
        <v>24</v>
      </c>
      <c r="D1306" s="385">
        <v>82901976.02</v>
      </c>
      <c r="E1306" s="380">
        <v>82901776.02</v>
      </c>
      <c r="F1306" s="386">
        <v>200</v>
      </c>
      <c r="G1306" s="71" t="str">
        <f>RIGHT(C1306,3)</f>
        <v>111</v>
      </c>
    </row>
    <row r="1307" spans="1:7" ht="12.75">
      <c r="A1307" s="370" t="s">
        <v>413</v>
      </c>
      <c r="B1307" s="371">
        <v>200</v>
      </c>
      <c r="C1307" s="369" t="s">
        <v>25</v>
      </c>
      <c r="D1307" s="385">
        <v>5185732.28</v>
      </c>
      <c r="E1307" s="380">
        <v>5182753.88</v>
      </c>
      <c r="F1307" s="386">
        <v>2978.4</v>
      </c>
      <c r="G1307" s="71" t="str">
        <f>RIGHT(C1307,3)</f>
        <v>112</v>
      </c>
    </row>
    <row r="1308" spans="1:7" ht="33.75">
      <c r="A1308" s="370" t="s">
        <v>2489</v>
      </c>
      <c r="B1308" s="371">
        <v>200</v>
      </c>
      <c r="C1308" s="369" t="s">
        <v>2497</v>
      </c>
      <c r="D1308" s="385">
        <v>1751543.9</v>
      </c>
      <c r="E1308" s="380">
        <v>1751543.9</v>
      </c>
      <c r="F1308" s="386">
        <v>0</v>
      </c>
      <c r="G1308" s="71" t="str">
        <f>RIGHT(C1308,3)</f>
        <v>113</v>
      </c>
    </row>
    <row r="1309" spans="1:7" ht="22.5">
      <c r="A1309" s="370" t="s">
        <v>414</v>
      </c>
      <c r="B1309" s="371">
        <v>200</v>
      </c>
      <c r="C1309" s="369" t="s">
        <v>26</v>
      </c>
      <c r="D1309" s="385">
        <v>23923308.9</v>
      </c>
      <c r="E1309" s="380">
        <v>23909366.69</v>
      </c>
      <c r="F1309" s="386">
        <v>13942.21</v>
      </c>
      <c r="G1309" s="71" t="str">
        <f>RIGHT(C1309,3)</f>
        <v>119</v>
      </c>
    </row>
    <row r="1310" spans="1:7" ht="22.5">
      <c r="A1310" s="373" t="s">
        <v>411</v>
      </c>
      <c r="B1310" s="374">
        <v>200</v>
      </c>
      <c r="C1310" s="372" t="s">
        <v>27</v>
      </c>
      <c r="D1310" s="382">
        <v>32817708.72</v>
      </c>
      <c r="E1310" s="383">
        <v>31946959.59</v>
      </c>
      <c r="F1310" s="384">
        <v>870749.13</v>
      </c>
      <c r="G1310" s="71" t="str">
        <f>RIGHT(C1310,3)</f>
        <v>200</v>
      </c>
    </row>
    <row r="1311" spans="1:7" ht="22.5">
      <c r="A1311" s="373" t="s">
        <v>38</v>
      </c>
      <c r="B1311" s="374">
        <v>200</v>
      </c>
      <c r="C1311" s="372" t="s">
        <v>28</v>
      </c>
      <c r="D1311" s="382">
        <v>32817708.72</v>
      </c>
      <c r="E1311" s="383">
        <v>31946959.59</v>
      </c>
      <c r="F1311" s="384">
        <v>870749.13</v>
      </c>
      <c r="G1311" s="71" t="str">
        <f aca="true" t="shared" si="22" ref="G1311:G1374">RIGHT(C1311,3)</f>
        <v>240</v>
      </c>
    </row>
    <row r="1312" spans="1:7" ht="22.5">
      <c r="A1312" s="370" t="s">
        <v>637</v>
      </c>
      <c r="B1312" s="371">
        <v>200</v>
      </c>
      <c r="C1312" s="369" t="s">
        <v>29</v>
      </c>
      <c r="D1312" s="385">
        <v>422600</v>
      </c>
      <c r="E1312" s="380">
        <v>422600</v>
      </c>
      <c r="F1312" s="386">
        <v>0</v>
      </c>
      <c r="G1312" s="71" t="str">
        <f t="shared" si="22"/>
        <v>243</v>
      </c>
    </row>
    <row r="1313" spans="1:7" ht="12.75">
      <c r="A1313" s="370" t="s">
        <v>1658</v>
      </c>
      <c r="B1313" s="371">
        <v>200</v>
      </c>
      <c r="C1313" s="369" t="s">
        <v>30</v>
      </c>
      <c r="D1313" s="385">
        <v>32395108.72</v>
      </c>
      <c r="E1313" s="380">
        <v>31524359.59</v>
      </c>
      <c r="F1313" s="386">
        <v>870749.13</v>
      </c>
      <c r="G1313" s="71" t="str">
        <f t="shared" si="22"/>
        <v>244</v>
      </c>
    </row>
    <row r="1314" spans="1:7" ht="12.75">
      <c r="A1314" s="373" t="s">
        <v>39</v>
      </c>
      <c r="B1314" s="374">
        <v>200</v>
      </c>
      <c r="C1314" s="372" t="s">
        <v>31</v>
      </c>
      <c r="D1314" s="382">
        <v>5527.6</v>
      </c>
      <c r="E1314" s="383">
        <v>5527.6</v>
      </c>
      <c r="F1314" s="384">
        <v>0</v>
      </c>
      <c r="G1314" s="71" t="str">
        <f t="shared" si="22"/>
        <v>800</v>
      </c>
    </row>
    <row r="1315" spans="1:7" ht="12.75">
      <c r="A1315" s="373" t="s">
        <v>40</v>
      </c>
      <c r="B1315" s="374">
        <v>200</v>
      </c>
      <c r="C1315" s="372" t="s">
        <v>32</v>
      </c>
      <c r="D1315" s="382">
        <v>5527.6</v>
      </c>
      <c r="E1315" s="383">
        <v>5527.6</v>
      </c>
      <c r="F1315" s="384">
        <v>0</v>
      </c>
      <c r="G1315" s="71" t="str">
        <f t="shared" si="22"/>
        <v>850</v>
      </c>
    </row>
    <row r="1316" spans="1:7" ht="12.75">
      <c r="A1316" s="370" t="s">
        <v>632</v>
      </c>
      <c r="B1316" s="371">
        <v>200</v>
      </c>
      <c r="C1316" s="369" t="s">
        <v>33</v>
      </c>
      <c r="D1316" s="385">
        <v>4795</v>
      </c>
      <c r="E1316" s="380">
        <v>4795</v>
      </c>
      <c r="F1316" s="386">
        <v>0</v>
      </c>
      <c r="G1316" s="71" t="str">
        <f t="shared" si="22"/>
        <v>852</v>
      </c>
    </row>
    <row r="1317" spans="1:7" ht="12.75">
      <c r="A1317" s="370" t="s">
        <v>1375</v>
      </c>
      <c r="B1317" s="371">
        <v>200</v>
      </c>
      <c r="C1317" s="369" t="s">
        <v>34</v>
      </c>
      <c r="D1317" s="385">
        <v>732.6</v>
      </c>
      <c r="E1317" s="380">
        <v>732.6</v>
      </c>
      <c r="F1317" s="386">
        <v>0</v>
      </c>
      <c r="G1317" s="71" t="str">
        <f t="shared" si="22"/>
        <v>853</v>
      </c>
    </row>
    <row r="1318" spans="1:7" ht="12.75">
      <c r="A1318" s="373" t="s">
        <v>243</v>
      </c>
      <c r="B1318" s="374">
        <v>200</v>
      </c>
      <c r="C1318" s="372" t="s">
        <v>1920</v>
      </c>
      <c r="D1318" s="382">
        <v>13939139.76</v>
      </c>
      <c r="E1318" s="383">
        <v>13939139.76</v>
      </c>
      <c r="F1318" s="384">
        <v>0</v>
      </c>
      <c r="G1318" s="71" t="str">
        <f t="shared" si="22"/>
        <v>000</v>
      </c>
    </row>
    <row r="1319" spans="1:7" ht="33.75">
      <c r="A1319" s="373" t="s">
        <v>2092</v>
      </c>
      <c r="B1319" s="374">
        <v>200</v>
      </c>
      <c r="C1319" s="372" t="s">
        <v>2137</v>
      </c>
      <c r="D1319" s="382">
        <v>1276924</v>
      </c>
      <c r="E1319" s="383">
        <v>1276924</v>
      </c>
      <c r="F1319" s="384">
        <v>0</v>
      </c>
      <c r="G1319" s="71" t="str">
        <f t="shared" si="22"/>
        <v>000</v>
      </c>
    </row>
    <row r="1320" spans="1:7" ht="33.75">
      <c r="A1320" s="373" t="s">
        <v>36</v>
      </c>
      <c r="B1320" s="374">
        <v>200</v>
      </c>
      <c r="C1320" s="372" t="s">
        <v>2138</v>
      </c>
      <c r="D1320" s="382">
        <v>1276924</v>
      </c>
      <c r="E1320" s="383">
        <v>1276924</v>
      </c>
      <c r="F1320" s="384">
        <v>0</v>
      </c>
      <c r="G1320" s="71" t="str">
        <f t="shared" si="22"/>
        <v>100</v>
      </c>
    </row>
    <row r="1321" spans="1:7" ht="12.75">
      <c r="A1321" s="373" t="s">
        <v>41</v>
      </c>
      <c r="B1321" s="374">
        <v>200</v>
      </c>
      <c r="C1321" s="372" t="s">
        <v>2139</v>
      </c>
      <c r="D1321" s="382">
        <v>1276924</v>
      </c>
      <c r="E1321" s="383">
        <v>1276924</v>
      </c>
      <c r="F1321" s="384">
        <v>0</v>
      </c>
      <c r="G1321" s="71" t="str">
        <f t="shared" si="22"/>
        <v>110</v>
      </c>
    </row>
    <row r="1322" spans="1:7" ht="12.75">
      <c r="A1322" s="370" t="s">
        <v>412</v>
      </c>
      <c r="B1322" s="371">
        <v>200</v>
      </c>
      <c r="C1322" s="369" t="s">
        <v>2140</v>
      </c>
      <c r="D1322" s="385">
        <v>1001462</v>
      </c>
      <c r="E1322" s="380">
        <v>1001462</v>
      </c>
      <c r="F1322" s="386">
        <v>0</v>
      </c>
      <c r="G1322" s="71" t="str">
        <f t="shared" si="22"/>
        <v>111</v>
      </c>
    </row>
    <row r="1323" spans="1:7" ht="22.5">
      <c r="A1323" s="370" t="s">
        <v>414</v>
      </c>
      <c r="B1323" s="371">
        <v>200</v>
      </c>
      <c r="C1323" s="369" t="s">
        <v>2141</v>
      </c>
      <c r="D1323" s="385">
        <v>275462</v>
      </c>
      <c r="E1323" s="380">
        <v>275462</v>
      </c>
      <c r="F1323" s="386">
        <v>0</v>
      </c>
      <c r="G1323" s="71" t="str">
        <f t="shared" si="22"/>
        <v>119</v>
      </c>
    </row>
    <row r="1324" spans="1:7" ht="45">
      <c r="A1324" s="373" t="s">
        <v>2175</v>
      </c>
      <c r="B1324" s="374">
        <v>200</v>
      </c>
      <c r="C1324" s="372" t="s">
        <v>2201</v>
      </c>
      <c r="D1324" s="382">
        <v>603919</v>
      </c>
      <c r="E1324" s="383">
        <v>603919</v>
      </c>
      <c r="F1324" s="384">
        <v>0</v>
      </c>
      <c r="G1324" s="71" t="str">
        <f t="shared" si="22"/>
        <v>000</v>
      </c>
    </row>
    <row r="1325" spans="1:7" ht="33.75">
      <c r="A1325" s="373" t="s">
        <v>36</v>
      </c>
      <c r="B1325" s="374">
        <v>200</v>
      </c>
      <c r="C1325" s="372" t="s">
        <v>2202</v>
      </c>
      <c r="D1325" s="382">
        <v>603919</v>
      </c>
      <c r="E1325" s="383">
        <v>603919</v>
      </c>
      <c r="F1325" s="384">
        <v>0</v>
      </c>
      <c r="G1325" s="71" t="str">
        <f t="shared" si="22"/>
        <v>100</v>
      </c>
    </row>
    <row r="1326" spans="1:7" ht="12.75">
      <c r="A1326" s="373" t="s">
        <v>41</v>
      </c>
      <c r="B1326" s="374">
        <v>200</v>
      </c>
      <c r="C1326" s="372" t="s">
        <v>2203</v>
      </c>
      <c r="D1326" s="382">
        <v>603919</v>
      </c>
      <c r="E1326" s="383">
        <v>603919</v>
      </c>
      <c r="F1326" s="384">
        <v>0</v>
      </c>
      <c r="G1326" s="71" t="str">
        <f t="shared" si="22"/>
        <v>110</v>
      </c>
    </row>
    <row r="1327" spans="1:7" ht="12.75">
      <c r="A1327" s="370" t="s">
        <v>412</v>
      </c>
      <c r="B1327" s="371">
        <v>200</v>
      </c>
      <c r="C1327" s="369" t="s">
        <v>2204</v>
      </c>
      <c r="D1327" s="385">
        <v>463838</v>
      </c>
      <c r="E1327" s="380">
        <v>463838</v>
      </c>
      <c r="F1327" s="386">
        <v>0</v>
      </c>
      <c r="G1327" s="71" t="str">
        <f t="shared" si="22"/>
        <v>111</v>
      </c>
    </row>
    <row r="1328" spans="1:7" ht="22.5">
      <c r="A1328" s="370" t="s">
        <v>414</v>
      </c>
      <c r="B1328" s="371">
        <v>200</v>
      </c>
      <c r="C1328" s="369" t="s">
        <v>2205</v>
      </c>
      <c r="D1328" s="385">
        <v>140081</v>
      </c>
      <c r="E1328" s="380">
        <v>140081</v>
      </c>
      <c r="F1328" s="386">
        <v>0</v>
      </c>
      <c r="G1328" s="71" t="str">
        <f t="shared" si="22"/>
        <v>119</v>
      </c>
    </row>
    <row r="1329" spans="1:7" ht="22.5">
      <c r="A1329" s="373" t="s">
        <v>1811</v>
      </c>
      <c r="B1329" s="374">
        <v>200</v>
      </c>
      <c r="C1329" s="372" t="s">
        <v>1921</v>
      </c>
      <c r="D1329" s="382">
        <v>4223506.76</v>
      </c>
      <c r="E1329" s="383">
        <v>4223506.76</v>
      </c>
      <c r="F1329" s="384">
        <v>0</v>
      </c>
      <c r="G1329" s="71" t="str">
        <f t="shared" si="22"/>
        <v>000</v>
      </c>
    </row>
    <row r="1330" spans="1:7" ht="33.75">
      <c r="A1330" s="373" t="s">
        <v>36</v>
      </c>
      <c r="B1330" s="374">
        <v>200</v>
      </c>
      <c r="C1330" s="372" t="s">
        <v>1922</v>
      </c>
      <c r="D1330" s="382">
        <v>4223506.76</v>
      </c>
      <c r="E1330" s="383">
        <v>4223506.76</v>
      </c>
      <c r="F1330" s="384">
        <v>0</v>
      </c>
      <c r="G1330" s="71" t="str">
        <f t="shared" si="22"/>
        <v>100</v>
      </c>
    </row>
    <row r="1331" spans="1:7" ht="12.75">
      <c r="A1331" s="373" t="s">
        <v>41</v>
      </c>
      <c r="B1331" s="374">
        <v>200</v>
      </c>
      <c r="C1331" s="372" t="s">
        <v>1923</v>
      </c>
      <c r="D1331" s="382">
        <v>4223506.76</v>
      </c>
      <c r="E1331" s="383">
        <v>4223506.76</v>
      </c>
      <c r="F1331" s="384">
        <v>0</v>
      </c>
      <c r="G1331" s="71" t="str">
        <f t="shared" si="22"/>
        <v>110</v>
      </c>
    </row>
    <row r="1332" spans="1:7" ht="12.75">
      <c r="A1332" s="370" t="s">
        <v>412</v>
      </c>
      <c r="B1332" s="371">
        <v>200</v>
      </c>
      <c r="C1332" s="369" t="s">
        <v>1924</v>
      </c>
      <c r="D1332" s="385">
        <v>3243860.8</v>
      </c>
      <c r="E1332" s="380">
        <v>3243860.8</v>
      </c>
      <c r="F1332" s="386">
        <v>0</v>
      </c>
      <c r="G1332" s="71" t="str">
        <f t="shared" si="22"/>
        <v>111</v>
      </c>
    </row>
    <row r="1333" spans="1:7" ht="22.5">
      <c r="A1333" s="370" t="s">
        <v>414</v>
      </c>
      <c r="B1333" s="371">
        <v>200</v>
      </c>
      <c r="C1333" s="369" t="s">
        <v>1925</v>
      </c>
      <c r="D1333" s="385">
        <v>979645.96</v>
      </c>
      <c r="E1333" s="380">
        <v>979645.96</v>
      </c>
      <c r="F1333" s="386">
        <v>0</v>
      </c>
      <c r="G1333" s="71" t="str">
        <f t="shared" si="22"/>
        <v>119</v>
      </c>
    </row>
    <row r="1334" spans="1:7" ht="67.5">
      <c r="A1334" s="377" t="s">
        <v>1839</v>
      </c>
      <c r="B1334" s="374">
        <v>200</v>
      </c>
      <c r="C1334" s="372" t="s">
        <v>1926</v>
      </c>
      <c r="D1334" s="382">
        <v>7834790</v>
      </c>
      <c r="E1334" s="383">
        <v>7834790</v>
      </c>
      <c r="F1334" s="384">
        <v>0</v>
      </c>
      <c r="G1334" s="71" t="str">
        <f t="shared" si="22"/>
        <v>000</v>
      </c>
    </row>
    <row r="1335" spans="1:7" ht="33.75">
      <c r="A1335" s="373" t="s">
        <v>36</v>
      </c>
      <c r="B1335" s="374">
        <v>200</v>
      </c>
      <c r="C1335" s="372" t="s">
        <v>1927</v>
      </c>
      <c r="D1335" s="382">
        <v>7834790</v>
      </c>
      <c r="E1335" s="383">
        <v>7834790</v>
      </c>
      <c r="F1335" s="384">
        <v>0</v>
      </c>
      <c r="G1335" s="71" t="str">
        <f t="shared" si="22"/>
        <v>100</v>
      </c>
    </row>
    <row r="1336" spans="1:7" ht="12.75">
      <c r="A1336" s="373" t="s">
        <v>41</v>
      </c>
      <c r="B1336" s="374">
        <v>200</v>
      </c>
      <c r="C1336" s="372" t="s">
        <v>1928</v>
      </c>
      <c r="D1336" s="382">
        <v>7834790</v>
      </c>
      <c r="E1336" s="383">
        <v>7834790</v>
      </c>
      <c r="F1336" s="384">
        <v>0</v>
      </c>
      <c r="G1336" s="71" t="str">
        <f t="shared" si="22"/>
        <v>110</v>
      </c>
    </row>
    <row r="1337" spans="1:7" ht="12.75">
      <c r="A1337" s="370" t="s">
        <v>412</v>
      </c>
      <c r="B1337" s="371">
        <v>200</v>
      </c>
      <c r="C1337" s="369" t="s">
        <v>1929</v>
      </c>
      <c r="D1337" s="385">
        <v>5889565.69</v>
      </c>
      <c r="E1337" s="380">
        <v>5889565.69</v>
      </c>
      <c r="F1337" s="386">
        <v>0</v>
      </c>
      <c r="G1337" s="71" t="str">
        <f t="shared" si="22"/>
        <v>111</v>
      </c>
    </row>
    <row r="1338" spans="1:7" ht="22.5">
      <c r="A1338" s="370" t="s">
        <v>414</v>
      </c>
      <c r="B1338" s="371">
        <v>200</v>
      </c>
      <c r="C1338" s="369" t="s">
        <v>1930</v>
      </c>
      <c r="D1338" s="385">
        <v>1945224.31</v>
      </c>
      <c r="E1338" s="380">
        <v>1945224.31</v>
      </c>
      <c r="F1338" s="386">
        <v>0</v>
      </c>
      <c r="G1338" s="71" t="str">
        <f t="shared" si="22"/>
        <v>119</v>
      </c>
    </row>
    <row r="1339" spans="1:7" ht="12.75">
      <c r="A1339" s="373" t="s">
        <v>478</v>
      </c>
      <c r="B1339" s="374">
        <v>200</v>
      </c>
      <c r="C1339" s="372" t="s">
        <v>1544</v>
      </c>
      <c r="D1339" s="382">
        <v>71708608.87</v>
      </c>
      <c r="E1339" s="383">
        <v>71476388.57</v>
      </c>
      <c r="F1339" s="384">
        <v>232220.3</v>
      </c>
      <c r="G1339" s="71" t="str">
        <f t="shared" si="22"/>
        <v>000</v>
      </c>
    </row>
    <row r="1340" spans="1:7" ht="33.75">
      <c r="A1340" s="373" t="s">
        <v>1410</v>
      </c>
      <c r="B1340" s="374">
        <v>200</v>
      </c>
      <c r="C1340" s="372" t="s">
        <v>1545</v>
      </c>
      <c r="D1340" s="382">
        <v>71414708.87</v>
      </c>
      <c r="E1340" s="383">
        <v>71182488.57</v>
      </c>
      <c r="F1340" s="384">
        <v>232220.3</v>
      </c>
      <c r="G1340" s="71" t="str">
        <f t="shared" si="22"/>
        <v>000</v>
      </c>
    </row>
    <row r="1341" spans="1:7" ht="12.75">
      <c r="A1341" s="373" t="s">
        <v>663</v>
      </c>
      <c r="B1341" s="374">
        <v>200</v>
      </c>
      <c r="C1341" s="372" t="s">
        <v>1546</v>
      </c>
      <c r="D1341" s="382">
        <v>66383853.87</v>
      </c>
      <c r="E1341" s="383">
        <v>66383852.99</v>
      </c>
      <c r="F1341" s="384">
        <v>0.88</v>
      </c>
      <c r="G1341" s="71" t="str">
        <f t="shared" si="22"/>
        <v>000</v>
      </c>
    </row>
    <row r="1342" spans="1:7" ht="22.5">
      <c r="A1342" s="373" t="s">
        <v>411</v>
      </c>
      <c r="B1342" s="374">
        <v>200</v>
      </c>
      <c r="C1342" s="372" t="s">
        <v>1547</v>
      </c>
      <c r="D1342" s="382">
        <v>66383853.87</v>
      </c>
      <c r="E1342" s="383">
        <v>66383852.99</v>
      </c>
      <c r="F1342" s="384">
        <v>0.88</v>
      </c>
      <c r="G1342" s="71" t="str">
        <f t="shared" si="22"/>
        <v>200</v>
      </c>
    </row>
    <row r="1343" spans="1:7" ht="22.5">
      <c r="A1343" s="373" t="s">
        <v>38</v>
      </c>
      <c r="B1343" s="374">
        <v>200</v>
      </c>
      <c r="C1343" s="372" t="s">
        <v>1548</v>
      </c>
      <c r="D1343" s="382">
        <v>66383853.87</v>
      </c>
      <c r="E1343" s="383">
        <v>66383852.99</v>
      </c>
      <c r="F1343" s="384">
        <v>0.88</v>
      </c>
      <c r="G1343" s="71" t="str">
        <f t="shared" si="22"/>
        <v>240</v>
      </c>
    </row>
    <row r="1344" spans="1:7" ht="12.75">
      <c r="A1344" s="370" t="s">
        <v>1658</v>
      </c>
      <c r="B1344" s="371">
        <v>200</v>
      </c>
      <c r="C1344" s="369" t="s">
        <v>1549</v>
      </c>
      <c r="D1344" s="385">
        <v>66383853.87</v>
      </c>
      <c r="E1344" s="380">
        <v>66383852.99</v>
      </c>
      <c r="F1344" s="386">
        <v>0.88</v>
      </c>
      <c r="G1344" s="71" t="str">
        <f t="shared" si="22"/>
        <v>244</v>
      </c>
    </row>
    <row r="1345" spans="1:7" ht="12.75">
      <c r="A1345" s="373" t="s">
        <v>1764</v>
      </c>
      <c r="B1345" s="374">
        <v>200</v>
      </c>
      <c r="C1345" s="372" t="s">
        <v>1765</v>
      </c>
      <c r="D1345" s="382">
        <v>5030855</v>
      </c>
      <c r="E1345" s="383">
        <v>4798635.58</v>
      </c>
      <c r="F1345" s="384">
        <v>232219.42</v>
      </c>
      <c r="G1345" s="71" t="str">
        <f t="shared" si="22"/>
        <v>000</v>
      </c>
    </row>
    <row r="1346" spans="1:7" ht="22.5">
      <c r="A1346" s="373" t="s">
        <v>411</v>
      </c>
      <c r="B1346" s="374">
        <v>200</v>
      </c>
      <c r="C1346" s="372" t="s">
        <v>1766</v>
      </c>
      <c r="D1346" s="382">
        <v>4802675</v>
      </c>
      <c r="E1346" s="383">
        <v>4798635.58</v>
      </c>
      <c r="F1346" s="384">
        <v>4039.42</v>
      </c>
      <c r="G1346" s="71" t="str">
        <f t="shared" si="22"/>
        <v>200</v>
      </c>
    </row>
    <row r="1347" spans="1:7" ht="22.5">
      <c r="A1347" s="373" t="s">
        <v>38</v>
      </c>
      <c r="B1347" s="374">
        <v>200</v>
      </c>
      <c r="C1347" s="372" t="s">
        <v>1767</v>
      </c>
      <c r="D1347" s="382">
        <v>4802675</v>
      </c>
      <c r="E1347" s="383">
        <v>4798635.58</v>
      </c>
      <c r="F1347" s="384">
        <v>4039.42</v>
      </c>
      <c r="G1347" s="71" t="str">
        <f t="shared" si="22"/>
        <v>240</v>
      </c>
    </row>
    <row r="1348" spans="1:7" ht="12.75">
      <c r="A1348" s="370" t="s">
        <v>1658</v>
      </c>
      <c r="B1348" s="371">
        <v>200</v>
      </c>
      <c r="C1348" s="369" t="s">
        <v>1768</v>
      </c>
      <c r="D1348" s="385">
        <v>4802675</v>
      </c>
      <c r="E1348" s="380">
        <v>4798635.58</v>
      </c>
      <c r="F1348" s="386">
        <v>4039.42</v>
      </c>
      <c r="G1348" s="71" t="str">
        <f t="shared" si="22"/>
        <v>244</v>
      </c>
    </row>
    <row r="1349" spans="1:7" ht="12.75">
      <c r="A1349" s="373" t="s">
        <v>43</v>
      </c>
      <c r="B1349" s="374">
        <v>200</v>
      </c>
      <c r="C1349" s="372" t="s">
        <v>2456</v>
      </c>
      <c r="D1349" s="382">
        <v>228180</v>
      </c>
      <c r="E1349" s="383">
        <v>0</v>
      </c>
      <c r="F1349" s="384">
        <v>228180</v>
      </c>
      <c r="G1349" s="71" t="str">
        <f t="shared" si="22"/>
        <v>300</v>
      </c>
    </row>
    <row r="1350" spans="1:7" ht="22.5">
      <c r="A1350" s="373" t="s">
        <v>44</v>
      </c>
      <c r="B1350" s="374">
        <v>200</v>
      </c>
      <c r="C1350" s="372" t="s">
        <v>2457</v>
      </c>
      <c r="D1350" s="382">
        <v>228180</v>
      </c>
      <c r="E1350" s="383">
        <v>0</v>
      </c>
      <c r="F1350" s="384">
        <v>228180</v>
      </c>
      <c r="G1350" s="71" t="str">
        <f t="shared" si="22"/>
        <v>320</v>
      </c>
    </row>
    <row r="1351" spans="1:7" ht="22.5">
      <c r="A1351" s="370" t="s">
        <v>1075</v>
      </c>
      <c r="B1351" s="371">
        <v>200</v>
      </c>
      <c r="C1351" s="369" t="s">
        <v>2458</v>
      </c>
      <c r="D1351" s="385">
        <v>228180</v>
      </c>
      <c r="E1351" s="380">
        <v>0</v>
      </c>
      <c r="F1351" s="386">
        <v>228180</v>
      </c>
      <c r="G1351" s="71" t="str">
        <f t="shared" si="22"/>
        <v>321</v>
      </c>
    </row>
    <row r="1352" spans="1:7" ht="22.5">
      <c r="A1352" s="373" t="s">
        <v>837</v>
      </c>
      <c r="B1352" s="374">
        <v>200</v>
      </c>
      <c r="C1352" s="372" t="s">
        <v>1550</v>
      </c>
      <c r="D1352" s="382">
        <v>293900</v>
      </c>
      <c r="E1352" s="383">
        <v>293900</v>
      </c>
      <c r="F1352" s="384">
        <v>0</v>
      </c>
      <c r="G1352" s="71" t="str">
        <f t="shared" si="22"/>
        <v>000</v>
      </c>
    </row>
    <row r="1353" spans="1:7" ht="12.75">
      <c r="A1353" s="373" t="s">
        <v>1230</v>
      </c>
      <c r="B1353" s="374">
        <v>200</v>
      </c>
      <c r="C1353" s="372" t="s">
        <v>1551</v>
      </c>
      <c r="D1353" s="382">
        <v>258900</v>
      </c>
      <c r="E1353" s="383">
        <v>258900</v>
      </c>
      <c r="F1353" s="384">
        <v>0</v>
      </c>
      <c r="G1353" s="71" t="str">
        <f t="shared" si="22"/>
        <v>000</v>
      </c>
    </row>
    <row r="1354" spans="1:7" ht="22.5">
      <c r="A1354" s="373" t="s">
        <v>411</v>
      </c>
      <c r="B1354" s="374">
        <v>200</v>
      </c>
      <c r="C1354" s="372" t="s">
        <v>1552</v>
      </c>
      <c r="D1354" s="382">
        <v>258900</v>
      </c>
      <c r="E1354" s="383">
        <v>258900</v>
      </c>
      <c r="F1354" s="384">
        <v>0</v>
      </c>
      <c r="G1354" s="71" t="str">
        <f t="shared" si="22"/>
        <v>200</v>
      </c>
    </row>
    <row r="1355" spans="1:7" ht="22.5">
      <c r="A1355" s="373" t="s">
        <v>38</v>
      </c>
      <c r="B1355" s="374">
        <v>200</v>
      </c>
      <c r="C1355" s="372" t="s">
        <v>1553</v>
      </c>
      <c r="D1355" s="382">
        <v>258900</v>
      </c>
      <c r="E1355" s="383">
        <v>258900</v>
      </c>
      <c r="F1355" s="384">
        <v>0</v>
      </c>
      <c r="G1355" s="71" t="str">
        <f t="shared" si="22"/>
        <v>240</v>
      </c>
    </row>
    <row r="1356" spans="1:7" ht="12.75">
      <c r="A1356" s="370" t="s">
        <v>1658</v>
      </c>
      <c r="B1356" s="371">
        <v>200</v>
      </c>
      <c r="C1356" s="369" t="s">
        <v>1554</v>
      </c>
      <c r="D1356" s="385">
        <v>258900</v>
      </c>
      <c r="E1356" s="380">
        <v>258900</v>
      </c>
      <c r="F1356" s="386">
        <v>0</v>
      </c>
      <c r="G1356" s="71" t="str">
        <f t="shared" si="22"/>
        <v>244</v>
      </c>
    </row>
    <row r="1357" spans="1:7" ht="33.75">
      <c r="A1357" s="373" t="s">
        <v>1352</v>
      </c>
      <c r="B1357" s="374">
        <v>200</v>
      </c>
      <c r="C1357" s="372" t="s">
        <v>1555</v>
      </c>
      <c r="D1357" s="382">
        <v>35000</v>
      </c>
      <c r="E1357" s="383">
        <v>35000</v>
      </c>
      <c r="F1357" s="384">
        <v>0</v>
      </c>
      <c r="G1357" s="71" t="str">
        <f t="shared" si="22"/>
        <v>000</v>
      </c>
    </row>
    <row r="1358" spans="1:7" ht="22.5">
      <c r="A1358" s="373" t="s">
        <v>411</v>
      </c>
      <c r="B1358" s="374">
        <v>200</v>
      </c>
      <c r="C1358" s="372" t="s">
        <v>1556</v>
      </c>
      <c r="D1358" s="382">
        <v>35000</v>
      </c>
      <c r="E1358" s="383">
        <v>35000</v>
      </c>
      <c r="F1358" s="384">
        <v>0</v>
      </c>
      <c r="G1358" s="71" t="str">
        <f t="shared" si="22"/>
        <v>200</v>
      </c>
    </row>
    <row r="1359" spans="1:7" ht="22.5">
      <c r="A1359" s="373" t="s">
        <v>38</v>
      </c>
      <c r="B1359" s="374">
        <v>200</v>
      </c>
      <c r="C1359" s="372" t="s">
        <v>1557</v>
      </c>
      <c r="D1359" s="382">
        <v>35000</v>
      </c>
      <c r="E1359" s="383">
        <v>35000</v>
      </c>
      <c r="F1359" s="384">
        <v>0</v>
      </c>
      <c r="G1359" s="71" t="str">
        <f t="shared" si="22"/>
        <v>240</v>
      </c>
    </row>
    <row r="1360" spans="1:7" ht="12.75">
      <c r="A1360" s="370" t="s">
        <v>1658</v>
      </c>
      <c r="B1360" s="371">
        <v>200</v>
      </c>
      <c r="C1360" s="369" t="s">
        <v>1558</v>
      </c>
      <c r="D1360" s="385">
        <v>35000</v>
      </c>
      <c r="E1360" s="380">
        <v>35000</v>
      </c>
      <c r="F1360" s="386">
        <v>0</v>
      </c>
      <c r="G1360" s="71" t="str">
        <f t="shared" si="22"/>
        <v>244</v>
      </c>
    </row>
    <row r="1361" spans="1:7" ht="12.75">
      <c r="A1361" s="373" t="s">
        <v>13</v>
      </c>
      <c r="B1361" s="374">
        <v>200</v>
      </c>
      <c r="C1361" s="372" t="s">
        <v>1559</v>
      </c>
      <c r="D1361" s="382">
        <v>274536368.78</v>
      </c>
      <c r="E1361" s="383">
        <v>270132904.48</v>
      </c>
      <c r="F1361" s="384">
        <v>4403464.3</v>
      </c>
      <c r="G1361" s="71" t="str">
        <f t="shared" si="22"/>
        <v>000</v>
      </c>
    </row>
    <row r="1362" spans="1:7" ht="33.75">
      <c r="A1362" s="373" t="s">
        <v>1410</v>
      </c>
      <c r="B1362" s="374">
        <v>200</v>
      </c>
      <c r="C1362" s="372" t="s">
        <v>1560</v>
      </c>
      <c r="D1362" s="382">
        <v>221800650.89</v>
      </c>
      <c r="E1362" s="383">
        <v>217397186.59</v>
      </c>
      <c r="F1362" s="384">
        <v>4403464.3</v>
      </c>
      <c r="G1362" s="71" t="str">
        <f t="shared" si="22"/>
        <v>000</v>
      </c>
    </row>
    <row r="1363" spans="1:7" ht="12.75">
      <c r="A1363" s="373" t="s">
        <v>1299</v>
      </c>
      <c r="B1363" s="374">
        <v>200</v>
      </c>
      <c r="C1363" s="372" t="s">
        <v>1561</v>
      </c>
      <c r="D1363" s="382">
        <v>24888444.19</v>
      </c>
      <c r="E1363" s="383">
        <v>24756747.1</v>
      </c>
      <c r="F1363" s="384">
        <v>131697.09</v>
      </c>
      <c r="G1363" s="71" t="str">
        <f t="shared" si="22"/>
        <v>000</v>
      </c>
    </row>
    <row r="1364" spans="1:7" ht="33.75">
      <c r="A1364" s="373" t="s">
        <v>36</v>
      </c>
      <c r="B1364" s="374">
        <v>200</v>
      </c>
      <c r="C1364" s="372" t="s">
        <v>1562</v>
      </c>
      <c r="D1364" s="382">
        <v>20652447.13</v>
      </c>
      <c r="E1364" s="383">
        <v>20652447.13</v>
      </c>
      <c r="F1364" s="384">
        <v>0</v>
      </c>
      <c r="G1364" s="71" t="str">
        <f t="shared" si="22"/>
        <v>100</v>
      </c>
    </row>
    <row r="1365" spans="1:7" ht="12.75">
      <c r="A1365" s="373" t="s">
        <v>37</v>
      </c>
      <c r="B1365" s="374">
        <v>200</v>
      </c>
      <c r="C1365" s="372" t="s">
        <v>1563</v>
      </c>
      <c r="D1365" s="382">
        <v>20652447.13</v>
      </c>
      <c r="E1365" s="383">
        <v>20652447.13</v>
      </c>
      <c r="F1365" s="384">
        <v>0</v>
      </c>
      <c r="G1365" s="71" t="str">
        <f t="shared" si="22"/>
        <v>120</v>
      </c>
    </row>
    <row r="1366" spans="1:7" ht="12.75">
      <c r="A1366" s="370" t="s">
        <v>1317</v>
      </c>
      <c r="B1366" s="371">
        <v>200</v>
      </c>
      <c r="C1366" s="369" t="s">
        <v>1564</v>
      </c>
      <c r="D1366" s="385">
        <v>15282994.37</v>
      </c>
      <c r="E1366" s="380">
        <v>15282994.37</v>
      </c>
      <c r="F1366" s="386">
        <v>0</v>
      </c>
      <c r="G1366" s="71" t="str">
        <f t="shared" si="22"/>
        <v>121</v>
      </c>
    </row>
    <row r="1367" spans="1:7" ht="22.5">
      <c r="A1367" s="370" t="s">
        <v>244</v>
      </c>
      <c r="B1367" s="371">
        <v>200</v>
      </c>
      <c r="C1367" s="369" t="s">
        <v>1565</v>
      </c>
      <c r="D1367" s="385">
        <v>983701.92</v>
      </c>
      <c r="E1367" s="380">
        <v>983701.92</v>
      </c>
      <c r="F1367" s="386">
        <v>0</v>
      </c>
      <c r="G1367" s="71" t="str">
        <f t="shared" si="22"/>
        <v>122</v>
      </c>
    </row>
    <row r="1368" spans="1:7" ht="33.75">
      <c r="A1368" s="370" t="s">
        <v>1318</v>
      </c>
      <c r="B1368" s="371">
        <v>200</v>
      </c>
      <c r="C1368" s="369" t="s">
        <v>1566</v>
      </c>
      <c r="D1368" s="385">
        <v>4385750.84</v>
      </c>
      <c r="E1368" s="380">
        <v>4385750.84</v>
      </c>
      <c r="F1368" s="386">
        <v>0</v>
      </c>
      <c r="G1368" s="71" t="str">
        <f t="shared" si="22"/>
        <v>129</v>
      </c>
    </row>
    <row r="1369" spans="1:7" ht="22.5">
      <c r="A1369" s="373" t="s">
        <v>411</v>
      </c>
      <c r="B1369" s="374">
        <v>200</v>
      </c>
      <c r="C1369" s="372" t="s">
        <v>1567</v>
      </c>
      <c r="D1369" s="382">
        <v>4205997.06</v>
      </c>
      <c r="E1369" s="383">
        <v>4074299.97</v>
      </c>
      <c r="F1369" s="384">
        <v>131697.09</v>
      </c>
      <c r="G1369" s="71" t="str">
        <f t="shared" si="22"/>
        <v>200</v>
      </c>
    </row>
    <row r="1370" spans="1:7" ht="22.5">
      <c r="A1370" s="373" t="s">
        <v>38</v>
      </c>
      <c r="B1370" s="374">
        <v>200</v>
      </c>
      <c r="C1370" s="372" t="s">
        <v>1568</v>
      </c>
      <c r="D1370" s="382">
        <v>4205997.06</v>
      </c>
      <c r="E1370" s="383">
        <v>4074299.97</v>
      </c>
      <c r="F1370" s="384">
        <v>131697.09</v>
      </c>
      <c r="G1370" s="71" t="str">
        <f t="shared" si="22"/>
        <v>240</v>
      </c>
    </row>
    <row r="1371" spans="1:7" ht="22.5">
      <c r="A1371" s="370" t="s">
        <v>637</v>
      </c>
      <c r="B1371" s="371">
        <v>200</v>
      </c>
      <c r="C1371" s="369" t="s">
        <v>2249</v>
      </c>
      <c r="D1371" s="385">
        <v>99500</v>
      </c>
      <c r="E1371" s="380">
        <v>99500</v>
      </c>
      <c r="F1371" s="386">
        <v>0</v>
      </c>
      <c r="G1371" s="71" t="str">
        <f t="shared" si="22"/>
        <v>243</v>
      </c>
    </row>
    <row r="1372" spans="1:7" ht="12.75">
      <c r="A1372" s="370" t="s">
        <v>1658</v>
      </c>
      <c r="B1372" s="371">
        <v>200</v>
      </c>
      <c r="C1372" s="369" t="s">
        <v>1569</v>
      </c>
      <c r="D1372" s="385">
        <v>4106497.06</v>
      </c>
      <c r="E1372" s="380">
        <v>3974799.97</v>
      </c>
      <c r="F1372" s="386">
        <v>131697.09</v>
      </c>
      <c r="G1372" s="71" t="str">
        <f t="shared" si="22"/>
        <v>244</v>
      </c>
    </row>
    <row r="1373" spans="1:7" ht="12.75">
      <c r="A1373" s="373" t="s">
        <v>39</v>
      </c>
      <c r="B1373" s="374">
        <v>200</v>
      </c>
      <c r="C1373" s="372" t="s">
        <v>1570</v>
      </c>
      <c r="D1373" s="382">
        <v>30000</v>
      </c>
      <c r="E1373" s="383">
        <v>30000</v>
      </c>
      <c r="F1373" s="384">
        <v>0</v>
      </c>
      <c r="G1373" s="71" t="str">
        <f t="shared" si="22"/>
        <v>800</v>
      </c>
    </row>
    <row r="1374" spans="1:7" ht="12.75">
      <c r="A1374" s="373" t="s">
        <v>40</v>
      </c>
      <c r="B1374" s="374">
        <v>200</v>
      </c>
      <c r="C1374" s="372" t="s">
        <v>1571</v>
      </c>
      <c r="D1374" s="382">
        <v>30000</v>
      </c>
      <c r="E1374" s="383">
        <v>30000</v>
      </c>
      <c r="F1374" s="384">
        <v>0</v>
      </c>
      <c r="G1374" s="71" t="str">
        <f t="shared" si="22"/>
        <v>850</v>
      </c>
    </row>
    <row r="1375" spans="1:7" ht="12.75">
      <c r="A1375" s="370" t="s">
        <v>1375</v>
      </c>
      <c r="B1375" s="371">
        <v>200</v>
      </c>
      <c r="C1375" s="369" t="s">
        <v>158</v>
      </c>
      <c r="D1375" s="385">
        <v>30000</v>
      </c>
      <c r="E1375" s="380">
        <v>30000</v>
      </c>
      <c r="F1375" s="386">
        <v>0</v>
      </c>
      <c r="G1375" s="71" t="str">
        <f aca="true" t="shared" si="23" ref="G1375:G1438">RIGHT(C1375,3)</f>
        <v>853</v>
      </c>
    </row>
    <row r="1376" spans="1:7" ht="45">
      <c r="A1376" s="377" t="s">
        <v>1593</v>
      </c>
      <c r="B1376" s="374">
        <v>200</v>
      </c>
      <c r="C1376" s="372" t="s">
        <v>1572</v>
      </c>
      <c r="D1376" s="382">
        <v>2869235</v>
      </c>
      <c r="E1376" s="383">
        <v>2869235</v>
      </c>
      <c r="F1376" s="384">
        <v>0</v>
      </c>
      <c r="G1376" s="71" t="str">
        <f t="shared" si="23"/>
        <v>000</v>
      </c>
    </row>
    <row r="1377" spans="1:7" ht="33.75">
      <c r="A1377" s="373" t="s">
        <v>36</v>
      </c>
      <c r="B1377" s="374">
        <v>200</v>
      </c>
      <c r="C1377" s="372" t="s">
        <v>1573</v>
      </c>
      <c r="D1377" s="382">
        <v>2869235</v>
      </c>
      <c r="E1377" s="383">
        <v>2869235</v>
      </c>
      <c r="F1377" s="384">
        <v>0</v>
      </c>
      <c r="G1377" s="71" t="str">
        <f t="shared" si="23"/>
        <v>100</v>
      </c>
    </row>
    <row r="1378" spans="1:7" ht="12.75">
      <c r="A1378" s="373" t="s">
        <v>37</v>
      </c>
      <c r="B1378" s="374">
        <v>200</v>
      </c>
      <c r="C1378" s="372" t="s">
        <v>1574</v>
      </c>
      <c r="D1378" s="382">
        <v>2869235</v>
      </c>
      <c r="E1378" s="383">
        <v>2869235</v>
      </c>
      <c r="F1378" s="384">
        <v>0</v>
      </c>
      <c r="G1378" s="71" t="str">
        <f t="shared" si="23"/>
        <v>120</v>
      </c>
    </row>
    <row r="1379" spans="1:7" ht="12.75">
      <c r="A1379" s="370" t="s">
        <v>1317</v>
      </c>
      <c r="B1379" s="371">
        <v>200</v>
      </c>
      <c r="C1379" s="369" t="s">
        <v>1575</v>
      </c>
      <c r="D1379" s="385">
        <v>2226250</v>
      </c>
      <c r="E1379" s="380">
        <v>2226250</v>
      </c>
      <c r="F1379" s="386">
        <v>0</v>
      </c>
      <c r="G1379" s="71" t="str">
        <f t="shared" si="23"/>
        <v>121</v>
      </c>
    </row>
    <row r="1380" spans="1:7" ht="33.75">
      <c r="A1380" s="370" t="s">
        <v>1318</v>
      </c>
      <c r="B1380" s="371">
        <v>200</v>
      </c>
      <c r="C1380" s="369" t="s">
        <v>1576</v>
      </c>
      <c r="D1380" s="385">
        <v>642985</v>
      </c>
      <c r="E1380" s="380">
        <v>642985</v>
      </c>
      <c r="F1380" s="386">
        <v>0</v>
      </c>
      <c r="G1380" s="71" t="str">
        <f t="shared" si="23"/>
        <v>129</v>
      </c>
    </row>
    <row r="1381" spans="1:7" ht="22.5">
      <c r="A1381" s="373" t="s">
        <v>618</v>
      </c>
      <c r="B1381" s="374">
        <v>200</v>
      </c>
      <c r="C1381" s="372" t="s">
        <v>1577</v>
      </c>
      <c r="D1381" s="382">
        <v>186301937.7</v>
      </c>
      <c r="E1381" s="383">
        <v>182032525.46</v>
      </c>
      <c r="F1381" s="384">
        <v>4269412.24</v>
      </c>
      <c r="G1381" s="71" t="str">
        <f t="shared" si="23"/>
        <v>000</v>
      </c>
    </row>
    <row r="1382" spans="1:7" ht="33.75">
      <c r="A1382" s="373" t="s">
        <v>36</v>
      </c>
      <c r="B1382" s="374">
        <v>200</v>
      </c>
      <c r="C1382" s="372" t="s">
        <v>1578</v>
      </c>
      <c r="D1382" s="382">
        <v>155457486.12</v>
      </c>
      <c r="E1382" s="383">
        <v>155457486.12</v>
      </c>
      <c r="F1382" s="384">
        <v>0</v>
      </c>
      <c r="G1382" s="71" t="str">
        <f t="shared" si="23"/>
        <v>100</v>
      </c>
    </row>
    <row r="1383" spans="1:7" ht="12.75">
      <c r="A1383" s="373" t="s">
        <v>41</v>
      </c>
      <c r="B1383" s="374">
        <v>200</v>
      </c>
      <c r="C1383" s="372" t="s">
        <v>1579</v>
      </c>
      <c r="D1383" s="382">
        <v>155457486.12</v>
      </c>
      <c r="E1383" s="383">
        <v>155457486.12</v>
      </c>
      <c r="F1383" s="384">
        <v>0</v>
      </c>
      <c r="G1383" s="71" t="str">
        <f t="shared" si="23"/>
        <v>110</v>
      </c>
    </row>
    <row r="1384" spans="1:7" ht="12.75">
      <c r="A1384" s="370" t="s">
        <v>412</v>
      </c>
      <c r="B1384" s="371">
        <v>200</v>
      </c>
      <c r="C1384" s="369" t="s">
        <v>1580</v>
      </c>
      <c r="D1384" s="385">
        <v>114583886.66</v>
      </c>
      <c r="E1384" s="380">
        <v>114583886.66</v>
      </c>
      <c r="F1384" s="386">
        <v>0</v>
      </c>
      <c r="G1384" s="71" t="str">
        <f t="shared" si="23"/>
        <v>111</v>
      </c>
    </row>
    <row r="1385" spans="1:7" ht="12.75">
      <c r="A1385" s="370" t="s">
        <v>413</v>
      </c>
      <c r="B1385" s="371">
        <v>200</v>
      </c>
      <c r="C1385" s="369" t="s">
        <v>1581</v>
      </c>
      <c r="D1385" s="385">
        <v>7751813.69</v>
      </c>
      <c r="E1385" s="380">
        <v>7751813.69</v>
      </c>
      <c r="F1385" s="386">
        <v>0</v>
      </c>
      <c r="G1385" s="71" t="str">
        <f t="shared" si="23"/>
        <v>112</v>
      </c>
    </row>
    <row r="1386" spans="1:7" ht="22.5">
      <c r="A1386" s="370" t="s">
        <v>414</v>
      </c>
      <c r="B1386" s="371">
        <v>200</v>
      </c>
      <c r="C1386" s="369" t="s">
        <v>1582</v>
      </c>
      <c r="D1386" s="385">
        <v>33121785.77</v>
      </c>
      <c r="E1386" s="380">
        <v>33121785.77</v>
      </c>
      <c r="F1386" s="386">
        <v>0</v>
      </c>
      <c r="G1386" s="71" t="str">
        <f t="shared" si="23"/>
        <v>119</v>
      </c>
    </row>
    <row r="1387" spans="1:7" ht="22.5">
      <c r="A1387" s="373" t="s">
        <v>411</v>
      </c>
      <c r="B1387" s="374">
        <v>200</v>
      </c>
      <c r="C1387" s="372" t="s">
        <v>1583</v>
      </c>
      <c r="D1387" s="382">
        <v>30795326.76</v>
      </c>
      <c r="E1387" s="383">
        <v>26525914.52</v>
      </c>
      <c r="F1387" s="384">
        <v>4269412.24</v>
      </c>
      <c r="G1387" s="71" t="str">
        <f t="shared" si="23"/>
        <v>200</v>
      </c>
    </row>
    <row r="1388" spans="1:7" ht="22.5">
      <c r="A1388" s="373" t="s">
        <v>38</v>
      </c>
      <c r="B1388" s="374">
        <v>200</v>
      </c>
      <c r="C1388" s="372" t="s">
        <v>1584</v>
      </c>
      <c r="D1388" s="382">
        <v>30795326.76</v>
      </c>
      <c r="E1388" s="383">
        <v>26525914.52</v>
      </c>
      <c r="F1388" s="384">
        <v>4269412.24</v>
      </c>
      <c r="G1388" s="71" t="str">
        <f t="shared" si="23"/>
        <v>240</v>
      </c>
    </row>
    <row r="1389" spans="1:7" ht="22.5">
      <c r="A1389" s="370" t="s">
        <v>637</v>
      </c>
      <c r="B1389" s="371">
        <v>200</v>
      </c>
      <c r="C1389" s="369" t="s">
        <v>2142</v>
      </c>
      <c r="D1389" s="385">
        <v>268333.33</v>
      </c>
      <c r="E1389" s="380">
        <v>268333.33</v>
      </c>
      <c r="F1389" s="386">
        <v>0</v>
      </c>
      <c r="G1389" s="71" t="str">
        <f t="shared" si="23"/>
        <v>243</v>
      </c>
    </row>
    <row r="1390" spans="1:7" ht="12.75">
      <c r="A1390" s="370" t="s">
        <v>1658</v>
      </c>
      <c r="B1390" s="371">
        <v>200</v>
      </c>
      <c r="C1390" s="369" t="s">
        <v>1585</v>
      </c>
      <c r="D1390" s="385">
        <v>30526993.43</v>
      </c>
      <c r="E1390" s="380">
        <v>26257581.19</v>
      </c>
      <c r="F1390" s="386">
        <v>4269412.24</v>
      </c>
      <c r="G1390" s="71" t="str">
        <f t="shared" si="23"/>
        <v>244</v>
      </c>
    </row>
    <row r="1391" spans="1:7" ht="12.75">
      <c r="A1391" s="373" t="s">
        <v>39</v>
      </c>
      <c r="B1391" s="374">
        <v>200</v>
      </c>
      <c r="C1391" s="372" t="s">
        <v>882</v>
      </c>
      <c r="D1391" s="382">
        <v>49124.82</v>
      </c>
      <c r="E1391" s="383">
        <v>49124.82</v>
      </c>
      <c r="F1391" s="384">
        <v>0</v>
      </c>
      <c r="G1391" s="71" t="str">
        <f t="shared" si="23"/>
        <v>800</v>
      </c>
    </row>
    <row r="1392" spans="1:7" ht="12.75">
      <c r="A1392" s="373" t="s">
        <v>40</v>
      </c>
      <c r="B1392" s="374">
        <v>200</v>
      </c>
      <c r="C1392" s="372" t="s">
        <v>883</v>
      </c>
      <c r="D1392" s="382">
        <v>49124.82</v>
      </c>
      <c r="E1392" s="383">
        <v>49124.82</v>
      </c>
      <c r="F1392" s="384">
        <v>0</v>
      </c>
      <c r="G1392" s="71" t="str">
        <f t="shared" si="23"/>
        <v>850</v>
      </c>
    </row>
    <row r="1393" spans="1:7" ht="12.75">
      <c r="A1393" s="370" t="s">
        <v>632</v>
      </c>
      <c r="B1393" s="371">
        <v>200</v>
      </c>
      <c r="C1393" s="369" t="s">
        <v>884</v>
      </c>
      <c r="D1393" s="385">
        <v>610</v>
      </c>
      <c r="E1393" s="380">
        <v>610</v>
      </c>
      <c r="F1393" s="386">
        <v>0</v>
      </c>
      <c r="G1393" s="71" t="str">
        <f t="shared" si="23"/>
        <v>852</v>
      </c>
    </row>
    <row r="1394" spans="1:7" ht="12.75">
      <c r="A1394" s="370" t="s">
        <v>1375</v>
      </c>
      <c r="B1394" s="371">
        <v>200</v>
      </c>
      <c r="C1394" s="369" t="s">
        <v>678</v>
      </c>
      <c r="D1394" s="385">
        <v>48514.82</v>
      </c>
      <c r="E1394" s="380">
        <v>48514.82</v>
      </c>
      <c r="F1394" s="386">
        <v>0</v>
      </c>
      <c r="G1394" s="71" t="str">
        <f t="shared" si="23"/>
        <v>853</v>
      </c>
    </row>
    <row r="1395" spans="1:7" ht="33.75">
      <c r="A1395" s="373" t="s">
        <v>619</v>
      </c>
      <c r="B1395" s="374">
        <v>200</v>
      </c>
      <c r="C1395" s="372" t="s">
        <v>885</v>
      </c>
      <c r="D1395" s="382">
        <v>7741034</v>
      </c>
      <c r="E1395" s="383">
        <v>7738679.03</v>
      </c>
      <c r="F1395" s="384">
        <v>2354.97</v>
      </c>
      <c r="G1395" s="71" t="str">
        <f t="shared" si="23"/>
        <v>000</v>
      </c>
    </row>
    <row r="1396" spans="1:7" ht="33.75">
      <c r="A1396" s="373" t="s">
        <v>36</v>
      </c>
      <c r="B1396" s="374">
        <v>200</v>
      </c>
      <c r="C1396" s="372" t="s">
        <v>886</v>
      </c>
      <c r="D1396" s="382">
        <v>6325796.63</v>
      </c>
      <c r="E1396" s="383">
        <v>6325706.66</v>
      </c>
      <c r="F1396" s="384">
        <v>89.97</v>
      </c>
      <c r="G1396" s="71" t="str">
        <f t="shared" si="23"/>
        <v>100</v>
      </c>
    </row>
    <row r="1397" spans="1:7" ht="12.75">
      <c r="A1397" s="373" t="s">
        <v>37</v>
      </c>
      <c r="B1397" s="374">
        <v>200</v>
      </c>
      <c r="C1397" s="372" t="s">
        <v>887</v>
      </c>
      <c r="D1397" s="382">
        <v>6325796.63</v>
      </c>
      <c r="E1397" s="383">
        <v>6325706.66</v>
      </c>
      <c r="F1397" s="384">
        <v>89.97</v>
      </c>
      <c r="G1397" s="71" t="str">
        <f t="shared" si="23"/>
        <v>120</v>
      </c>
    </row>
    <row r="1398" spans="1:7" ht="12.75">
      <c r="A1398" s="370" t="s">
        <v>1317</v>
      </c>
      <c r="B1398" s="371">
        <v>200</v>
      </c>
      <c r="C1398" s="369" t="s">
        <v>888</v>
      </c>
      <c r="D1398" s="385">
        <v>4477497.1</v>
      </c>
      <c r="E1398" s="380">
        <v>4477497.1</v>
      </c>
      <c r="F1398" s="386">
        <v>0</v>
      </c>
      <c r="G1398" s="71" t="str">
        <f t="shared" si="23"/>
        <v>121</v>
      </c>
    </row>
    <row r="1399" spans="1:7" ht="22.5">
      <c r="A1399" s="370" t="s">
        <v>244</v>
      </c>
      <c r="B1399" s="371">
        <v>200</v>
      </c>
      <c r="C1399" s="369" t="s">
        <v>889</v>
      </c>
      <c r="D1399" s="385">
        <v>439488.63</v>
      </c>
      <c r="E1399" s="380">
        <v>439398.66</v>
      </c>
      <c r="F1399" s="386">
        <v>89.97</v>
      </c>
      <c r="G1399" s="71" t="str">
        <f t="shared" si="23"/>
        <v>122</v>
      </c>
    </row>
    <row r="1400" spans="1:7" ht="33.75">
      <c r="A1400" s="370" t="s">
        <v>1318</v>
      </c>
      <c r="B1400" s="371">
        <v>200</v>
      </c>
      <c r="C1400" s="369" t="s">
        <v>890</v>
      </c>
      <c r="D1400" s="385">
        <v>1408810.9</v>
      </c>
      <c r="E1400" s="380">
        <v>1408810.9</v>
      </c>
      <c r="F1400" s="386">
        <v>0</v>
      </c>
      <c r="G1400" s="71" t="str">
        <f t="shared" si="23"/>
        <v>129</v>
      </c>
    </row>
    <row r="1401" spans="1:7" ht="22.5">
      <c r="A1401" s="373" t="s">
        <v>411</v>
      </c>
      <c r="B1401" s="374">
        <v>200</v>
      </c>
      <c r="C1401" s="372" t="s">
        <v>891</v>
      </c>
      <c r="D1401" s="382">
        <v>1415237.37</v>
      </c>
      <c r="E1401" s="383">
        <v>1412972.37</v>
      </c>
      <c r="F1401" s="384">
        <v>2265</v>
      </c>
      <c r="G1401" s="71" t="str">
        <f t="shared" si="23"/>
        <v>200</v>
      </c>
    </row>
    <row r="1402" spans="1:7" ht="22.5">
      <c r="A1402" s="373" t="s">
        <v>38</v>
      </c>
      <c r="B1402" s="374">
        <v>200</v>
      </c>
      <c r="C1402" s="372" t="s">
        <v>892</v>
      </c>
      <c r="D1402" s="382">
        <v>1415237.37</v>
      </c>
      <c r="E1402" s="383">
        <v>1412972.37</v>
      </c>
      <c r="F1402" s="384">
        <v>2265</v>
      </c>
      <c r="G1402" s="71" t="str">
        <f t="shared" si="23"/>
        <v>240</v>
      </c>
    </row>
    <row r="1403" spans="1:7" ht="12.75">
      <c r="A1403" s="370" t="s">
        <v>1658</v>
      </c>
      <c r="B1403" s="371">
        <v>200</v>
      </c>
      <c r="C1403" s="369" t="s">
        <v>893</v>
      </c>
      <c r="D1403" s="385">
        <v>1415237.37</v>
      </c>
      <c r="E1403" s="380">
        <v>1412972.37</v>
      </c>
      <c r="F1403" s="386">
        <v>2265</v>
      </c>
      <c r="G1403" s="71" t="str">
        <f t="shared" si="23"/>
        <v>244</v>
      </c>
    </row>
    <row r="1404" spans="1:7" ht="12.75">
      <c r="A1404" s="373" t="s">
        <v>243</v>
      </c>
      <c r="B1404" s="374">
        <v>200</v>
      </c>
      <c r="C1404" s="372" t="s">
        <v>1931</v>
      </c>
      <c r="D1404" s="382">
        <v>52735717.89</v>
      </c>
      <c r="E1404" s="383">
        <v>52735717.89</v>
      </c>
      <c r="F1404" s="384">
        <v>0</v>
      </c>
      <c r="G1404" s="71" t="str">
        <f t="shared" si="23"/>
        <v>000</v>
      </c>
    </row>
    <row r="1405" spans="1:7" ht="12.75">
      <c r="A1405" s="373" t="s">
        <v>1154</v>
      </c>
      <c r="B1405" s="374">
        <v>200</v>
      </c>
      <c r="C1405" s="372" t="s">
        <v>2061</v>
      </c>
      <c r="D1405" s="382">
        <v>44000000</v>
      </c>
      <c r="E1405" s="383">
        <v>44000000</v>
      </c>
      <c r="F1405" s="384">
        <v>0</v>
      </c>
      <c r="G1405" s="71" t="str">
        <f t="shared" si="23"/>
        <v>000</v>
      </c>
    </row>
    <row r="1406" spans="1:7" ht="22.5">
      <c r="A1406" s="373" t="s">
        <v>1159</v>
      </c>
      <c r="B1406" s="374">
        <v>200</v>
      </c>
      <c r="C1406" s="372" t="s">
        <v>2062</v>
      </c>
      <c r="D1406" s="382">
        <v>44000000</v>
      </c>
      <c r="E1406" s="383">
        <v>44000000</v>
      </c>
      <c r="F1406" s="384">
        <v>0</v>
      </c>
      <c r="G1406" s="71" t="str">
        <f t="shared" si="23"/>
        <v>400</v>
      </c>
    </row>
    <row r="1407" spans="1:7" ht="12.75">
      <c r="A1407" s="373" t="s">
        <v>1160</v>
      </c>
      <c r="B1407" s="374">
        <v>200</v>
      </c>
      <c r="C1407" s="372" t="s">
        <v>2063</v>
      </c>
      <c r="D1407" s="382">
        <v>44000000</v>
      </c>
      <c r="E1407" s="383">
        <v>44000000</v>
      </c>
      <c r="F1407" s="384">
        <v>0</v>
      </c>
      <c r="G1407" s="71" t="str">
        <f t="shared" si="23"/>
        <v>410</v>
      </c>
    </row>
    <row r="1408" spans="1:7" ht="22.5">
      <c r="A1408" s="370" t="s">
        <v>1155</v>
      </c>
      <c r="B1408" s="371">
        <v>200</v>
      </c>
      <c r="C1408" s="369" t="s">
        <v>2064</v>
      </c>
      <c r="D1408" s="385">
        <v>44000000</v>
      </c>
      <c r="E1408" s="380">
        <v>44000000</v>
      </c>
      <c r="F1408" s="386">
        <v>0</v>
      </c>
      <c r="G1408" s="71" t="str">
        <f t="shared" si="23"/>
        <v>412</v>
      </c>
    </row>
    <row r="1409" spans="1:7" ht="33.75">
      <c r="A1409" s="373" t="s">
        <v>2092</v>
      </c>
      <c r="B1409" s="374">
        <v>200</v>
      </c>
      <c r="C1409" s="372" t="s">
        <v>2143</v>
      </c>
      <c r="D1409" s="382">
        <v>581845</v>
      </c>
      <c r="E1409" s="383">
        <v>581845</v>
      </c>
      <c r="F1409" s="384">
        <v>0</v>
      </c>
      <c r="G1409" s="71" t="str">
        <f t="shared" si="23"/>
        <v>000</v>
      </c>
    </row>
    <row r="1410" spans="1:7" ht="33.75">
      <c r="A1410" s="373" t="s">
        <v>36</v>
      </c>
      <c r="B1410" s="374">
        <v>200</v>
      </c>
      <c r="C1410" s="372" t="s">
        <v>2144</v>
      </c>
      <c r="D1410" s="382">
        <v>581845</v>
      </c>
      <c r="E1410" s="383">
        <v>581845</v>
      </c>
      <c r="F1410" s="384">
        <v>0</v>
      </c>
      <c r="G1410" s="71" t="str">
        <f t="shared" si="23"/>
        <v>100</v>
      </c>
    </row>
    <row r="1411" spans="1:7" ht="12.75">
      <c r="A1411" s="373" t="s">
        <v>41</v>
      </c>
      <c r="B1411" s="374">
        <v>200</v>
      </c>
      <c r="C1411" s="372" t="s">
        <v>2145</v>
      </c>
      <c r="D1411" s="382">
        <v>581845</v>
      </c>
      <c r="E1411" s="383">
        <v>581845</v>
      </c>
      <c r="F1411" s="384">
        <v>0</v>
      </c>
      <c r="G1411" s="71" t="str">
        <f t="shared" si="23"/>
        <v>110</v>
      </c>
    </row>
    <row r="1412" spans="1:7" ht="12.75">
      <c r="A1412" s="370" t="s">
        <v>412</v>
      </c>
      <c r="B1412" s="371">
        <v>200</v>
      </c>
      <c r="C1412" s="369" t="s">
        <v>2146</v>
      </c>
      <c r="D1412" s="385">
        <v>446886</v>
      </c>
      <c r="E1412" s="380">
        <v>446886</v>
      </c>
      <c r="F1412" s="386">
        <v>0</v>
      </c>
      <c r="G1412" s="71" t="str">
        <f t="shared" si="23"/>
        <v>111</v>
      </c>
    </row>
    <row r="1413" spans="1:7" ht="22.5">
      <c r="A1413" s="370" t="s">
        <v>414</v>
      </c>
      <c r="B1413" s="371">
        <v>200</v>
      </c>
      <c r="C1413" s="369" t="s">
        <v>2147</v>
      </c>
      <c r="D1413" s="385">
        <v>134959</v>
      </c>
      <c r="E1413" s="380">
        <v>134959</v>
      </c>
      <c r="F1413" s="386">
        <v>0</v>
      </c>
      <c r="G1413" s="71" t="str">
        <f t="shared" si="23"/>
        <v>119</v>
      </c>
    </row>
    <row r="1414" spans="1:7" ht="33.75">
      <c r="A1414" s="373" t="s">
        <v>2254</v>
      </c>
      <c r="B1414" s="374">
        <v>200</v>
      </c>
      <c r="C1414" s="372" t="s">
        <v>2331</v>
      </c>
      <c r="D1414" s="382">
        <v>1462941.63</v>
      </c>
      <c r="E1414" s="383">
        <v>1462941.63</v>
      </c>
      <c r="F1414" s="384">
        <v>0</v>
      </c>
      <c r="G1414" s="71" t="str">
        <f t="shared" si="23"/>
        <v>000</v>
      </c>
    </row>
    <row r="1415" spans="1:7" ht="33.75">
      <c r="A1415" s="373" t="s">
        <v>36</v>
      </c>
      <c r="B1415" s="374">
        <v>200</v>
      </c>
      <c r="C1415" s="372" t="s">
        <v>2332</v>
      </c>
      <c r="D1415" s="382">
        <v>1462941.63</v>
      </c>
      <c r="E1415" s="383">
        <v>1462941.63</v>
      </c>
      <c r="F1415" s="384">
        <v>0</v>
      </c>
      <c r="G1415" s="71" t="str">
        <f t="shared" si="23"/>
        <v>100</v>
      </c>
    </row>
    <row r="1416" spans="1:7" ht="12.75">
      <c r="A1416" s="373" t="s">
        <v>37</v>
      </c>
      <c r="B1416" s="374">
        <v>200</v>
      </c>
      <c r="C1416" s="372" t="s">
        <v>2333</v>
      </c>
      <c r="D1416" s="382">
        <v>1462941.63</v>
      </c>
      <c r="E1416" s="383">
        <v>1462941.63</v>
      </c>
      <c r="F1416" s="384">
        <v>0</v>
      </c>
      <c r="G1416" s="71" t="str">
        <f t="shared" si="23"/>
        <v>120</v>
      </c>
    </row>
    <row r="1417" spans="1:7" ht="12.75">
      <c r="A1417" s="370" t="s">
        <v>1317</v>
      </c>
      <c r="B1417" s="371">
        <v>200</v>
      </c>
      <c r="C1417" s="369" t="s">
        <v>2334</v>
      </c>
      <c r="D1417" s="385">
        <v>1166237.8</v>
      </c>
      <c r="E1417" s="380">
        <v>1166237.8</v>
      </c>
      <c r="F1417" s="386">
        <v>0</v>
      </c>
      <c r="G1417" s="71" t="str">
        <f t="shared" si="23"/>
        <v>121</v>
      </c>
    </row>
    <row r="1418" spans="1:7" ht="33.75">
      <c r="A1418" s="370" t="s">
        <v>1318</v>
      </c>
      <c r="B1418" s="371">
        <v>200</v>
      </c>
      <c r="C1418" s="369" t="s">
        <v>2335</v>
      </c>
      <c r="D1418" s="385">
        <v>296703.83</v>
      </c>
      <c r="E1418" s="380">
        <v>296703.83</v>
      </c>
      <c r="F1418" s="386">
        <v>0</v>
      </c>
      <c r="G1418" s="71" t="str">
        <f t="shared" si="23"/>
        <v>129</v>
      </c>
    </row>
    <row r="1419" spans="1:7" ht="22.5">
      <c r="A1419" s="373" t="s">
        <v>1811</v>
      </c>
      <c r="B1419" s="374">
        <v>200</v>
      </c>
      <c r="C1419" s="372" t="s">
        <v>1932</v>
      </c>
      <c r="D1419" s="382">
        <v>6690931.26</v>
      </c>
      <c r="E1419" s="383">
        <v>6690931.26</v>
      </c>
      <c r="F1419" s="384">
        <v>0</v>
      </c>
      <c r="G1419" s="71" t="str">
        <f t="shared" si="23"/>
        <v>000</v>
      </c>
    </row>
    <row r="1420" spans="1:7" ht="33.75">
      <c r="A1420" s="373" t="s">
        <v>36</v>
      </c>
      <c r="B1420" s="374">
        <v>200</v>
      </c>
      <c r="C1420" s="372" t="s">
        <v>1933</v>
      </c>
      <c r="D1420" s="382">
        <v>6690931.26</v>
      </c>
      <c r="E1420" s="383">
        <v>6690931.26</v>
      </c>
      <c r="F1420" s="384">
        <v>0</v>
      </c>
      <c r="G1420" s="71" t="str">
        <f t="shared" si="23"/>
        <v>100</v>
      </c>
    </row>
    <row r="1421" spans="1:7" ht="12.75">
      <c r="A1421" s="373" t="s">
        <v>41</v>
      </c>
      <c r="B1421" s="374">
        <v>200</v>
      </c>
      <c r="C1421" s="372" t="s">
        <v>1934</v>
      </c>
      <c r="D1421" s="382">
        <v>5862600.1</v>
      </c>
      <c r="E1421" s="383">
        <v>5862600.1</v>
      </c>
      <c r="F1421" s="384">
        <v>0</v>
      </c>
      <c r="G1421" s="71" t="str">
        <f t="shared" si="23"/>
        <v>110</v>
      </c>
    </row>
    <row r="1422" spans="1:7" ht="12.75">
      <c r="A1422" s="370" t="s">
        <v>412</v>
      </c>
      <c r="B1422" s="371">
        <v>200</v>
      </c>
      <c r="C1422" s="369" t="s">
        <v>1935</v>
      </c>
      <c r="D1422" s="385">
        <v>4530456.4</v>
      </c>
      <c r="E1422" s="380">
        <v>4530456.4</v>
      </c>
      <c r="F1422" s="386">
        <v>0</v>
      </c>
      <c r="G1422" s="71" t="str">
        <f t="shared" si="23"/>
        <v>111</v>
      </c>
    </row>
    <row r="1423" spans="1:7" ht="22.5">
      <c r="A1423" s="370" t="s">
        <v>414</v>
      </c>
      <c r="B1423" s="371">
        <v>200</v>
      </c>
      <c r="C1423" s="369" t="s">
        <v>1936</v>
      </c>
      <c r="D1423" s="385">
        <v>1332143.7</v>
      </c>
      <c r="E1423" s="380">
        <v>1332143.7</v>
      </c>
      <c r="F1423" s="386">
        <v>0</v>
      </c>
      <c r="G1423" s="71" t="str">
        <f t="shared" si="23"/>
        <v>119</v>
      </c>
    </row>
    <row r="1424" spans="1:7" ht="12.75">
      <c r="A1424" s="373" t="s">
        <v>37</v>
      </c>
      <c r="B1424" s="374">
        <v>200</v>
      </c>
      <c r="C1424" s="372" t="s">
        <v>1937</v>
      </c>
      <c r="D1424" s="382">
        <v>828331.16</v>
      </c>
      <c r="E1424" s="383">
        <v>828331.16</v>
      </c>
      <c r="F1424" s="384">
        <v>0</v>
      </c>
      <c r="G1424" s="71" t="str">
        <f t="shared" si="23"/>
        <v>120</v>
      </c>
    </row>
    <row r="1425" spans="1:7" ht="12.75">
      <c r="A1425" s="370" t="s">
        <v>1317</v>
      </c>
      <c r="B1425" s="371">
        <v>200</v>
      </c>
      <c r="C1425" s="369" t="s">
        <v>1938</v>
      </c>
      <c r="D1425" s="385">
        <v>643364</v>
      </c>
      <c r="E1425" s="380">
        <v>643364</v>
      </c>
      <c r="F1425" s="386">
        <v>0</v>
      </c>
      <c r="G1425" s="71" t="str">
        <f t="shared" si="23"/>
        <v>121</v>
      </c>
    </row>
    <row r="1426" spans="1:7" ht="33.75">
      <c r="A1426" s="370" t="s">
        <v>1318</v>
      </c>
      <c r="B1426" s="371">
        <v>200</v>
      </c>
      <c r="C1426" s="369" t="s">
        <v>1939</v>
      </c>
      <c r="D1426" s="385">
        <v>184967.16</v>
      </c>
      <c r="E1426" s="380">
        <v>184967.16</v>
      </c>
      <c r="F1426" s="386">
        <v>0</v>
      </c>
      <c r="G1426" s="71" t="str">
        <f t="shared" si="23"/>
        <v>129</v>
      </c>
    </row>
    <row r="1427" spans="1:7" ht="12.75">
      <c r="A1427" s="373" t="s">
        <v>1362</v>
      </c>
      <c r="B1427" s="374">
        <v>200</v>
      </c>
      <c r="C1427" s="372" t="s">
        <v>894</v>
      </c>
      <c r="D1427" s="382">
        <v>118619170</v>
      </c>
      <c r="E1427" s="383">
        <v>112196963.7</v>
      </c>
      <c r="F1427" s="384">
        <v>6422206.3</v>
      </c>
      <c r="G1427" s="71" t="str">
        <f t="shared" si="23"/>
        <v>000</v>
      </c>
    </row>
    <row r="1428" spans="1:7" ht="12.75">
      <c r="A1428" s="373" t="s">
        <v>601</v>
      </c>
      <c r="B1428" s="374">
        <v>200</v>
      </c>
      <c r="C1428" s="372" t="s">
        <v>895</v>
      </c>
      <c r="D1428" s="382">
        <v>98914620</v>
      </c>
      <c r="E1428" s="383">
        <v>93975816.12</v>
      </c>
      <c r="F1428" s="384">
        <v>4938803.88</v>
      </c>
      <c r="G1428" s="71" t="str">
        <f t="shared" si="23"/>
        <v>000</v>
      </c>
    </row>
    <row r="1429" spans="1:7" ht="33.75">
      <c r="A1429" s="373" t="s">
        <v>1410</v>
      </c>
      <c r="B1429" s="374">
        <v>200</v>
      </c>
      <c r="C1429" s="372" t="s">
        <v>896</v>
      </c>
      <c r="D1429" s="382">
        <v>87034920</v>
      </c>
      <c r="E1429" s="383">
        <v>85053272.6</v>
      </c>
      <c r="F1429" s="384">
        <v>1981647.4</v>
      </c>
      <c r="G1429" s="71" t="str">
        <f t="shared" si="23"/>
        <v>000</v>
      </c>
    </row>
    <row r="1430" spans="1:7" ht="78.75">
      <c r="A1430" s="377" t="s">
        <v>1618</v>
      </c>
      <c r="B1430" s="374">
        <v>200</v>
      </c>
      <c r="C1430" s="372" t="s">
        <v>897</v>
      </c>
      <c r="D1430" s="382">
        <v>1530300</v>
      </c>
      <c r="E1430" s="383">
        <v>1145639.56</v>
      </c>
      <c r="F1430" s="384">
        <v>384660.44</v>
      </c>
      <c r="G1430" s="71" t="str">
        <f t="shared" si="23"/>
        <v>000</v>
      </c>
    </row>
    <row r="1431" spans="1:7" ht="12.75">
      <c r="A1431" s="373" t="s">
        <v>43</v>
      </c>
      <c r="B1431" s="374">
        <v>200</v>
      </c>
      <c r="C1431" s="372" t="s">
        <v>898</v>
      </c>
      <c r="D1431" s="382">
        <v>1530300</v>
      </c>
      <c r="E1431" s="383">
        <v>1145639.56</v>
      </c>
      <c r="F1431" s="384">
        <v>384660.44</v>
      </c>
      <c r="G1431" s="71" t="str">
        <f t="shared" si="23"/>
        <v>300</v>
      </c>
    </row>
    <row r="1432" spans="1:7" ht="22.5">
      <c r="A1432" s="373" t="s">
        <v>44</v>
      </c>
      <c r="B1432" s="374">
        <v>200</v>
      </c>
      <c r="C1432" s="372" t="s">
        <v>899</v>
      </c>
      <c r="D1432" s="382">
        <v>1530300</v>
      </c>
      <c r="E1432" s="383">
        <v>1145639.56</v>
      </c>
      <c r="F1432" s="384">
        <v>384660.44</v>
      </c>
      <c r="G1432" s="71" t="str">
        <f t="shared" si="23"/>
        <v>320</v>
      </c>
    </row>
    <row r="1433" spans="1:7" ht="22.5">
      <c r="A1433" s="370" t="s">
        <v>1075</v>
      </c>
      <c r="B1433" s="371">
        <v>200</v>
      </c>
      <c r="C1433" s="369" t="s">
        <v>900</v>
      </c>
      <c r="D1433" s="385">
        <v>1530300</v>
      </c>
      <c r="E1433" s="380">
        <v>1145639.56</v>
      </c>
      <c r="F1433" s="386">
        <v>384660.44</v>
      </c>
      <c r="G1433" s="71" t="str">
        <f t="shared" si="23"/>
        <v>321</v>
      </c>
    </row>
    <row r="1434" spans="1:7" ht="112.5">
      <c r="A1434" s="377" t="s">
        <v>1769</v>
      </c>
      <c r="B1434" s="374">
        <v>200</v>
      </c>
      <c r="C1434" s="372" t="s">
        <v>901</v>
      </c>
      <c r="D1434" s="382">
        <v>4100</v>
      </c>
      <c r="E1434" s="383">
        <v>3904.8</v>
      </c>
      <c r="F1434" s="384">
        <v>195.2</v>
      </c>
      <c r="G1434" s="71" t="str">
        <f t="shared" si="23"/>
        <v>000</v>
      </c>
    </row>
    <row r="1435" spans="1:7" ht="12.75">
      <c r="A1435" s="373" t="s">
        <v>43</v>
      </c>
      <c r="B1435" s="374">
        <v>200</v>
      </c>
      <c r="C1435" s="372" t="s">
        <v>902</v>
      </c>
      <c r="D1435" s="382">
        <v>4100</v>
      </c>
      <c r="E1435" s="383">
        <v>3904.8</v>
      </c>
      <c r="F1435" s="384">
        <v>195.2</v>
      </c>
      <c r="G1435" s="71" t="str">
        <f t="shared" si="23"/>
        <v>300</v>
      </c>
    </row>
    <row r="1436" spans="1:7" ht="22.5">
      <c r="A1436" s="373" t="s">
        <v>44</v>
      </c>
      <c r="B1436" s="374">
        <v>200</v>
      </c>
      <c r="C1436" s="372" t="s">
        <v>903</v>
      </c>
      <c r="D1436" s="382">
        <v>4100</v>
      </c>
      <c r="E1436" s="383">
        <v>3904.8</v>
      </c>
      <c r="F1436" s="384">
        <v>195.2</v>
      </c>
      <c r="G1436" s="71" t="str">
        <f t="shared" si="23"/>
        <v>320</v>
      </c>
    </row>
    <row r="1437" spans="1:7" ht="22.5">
      <c r="A1437" s="370" t="s">
        <v>1075</v>
      </c>
      <c r="B1437" s="371">
        <v>200</v>
      </c>
      <c r="C1437" s="369" t="s">
        <v>904</v>
      </c>
      <c r="D1437" s="385">
        <v>4100</v>
      </c>
      <c r="E1437" s="380">
        <v>3904.8</v>
      </c>
      <c r="F1437" s="386">
        <v>195.2</v>
      </c>
      <c r="G1437" s="71" t="str">
        <f t="shared" si="23"/>
        <v>321</v>
      </c>
    </row>
    <row r="1438" spans="1:7" ht="56.25">
      <c r="A1438" s="377" t="s">
        <v>1770</v>
      </c>
      <c r="B1438" s="374">
        <v>200</v>
      </c>
      <c r="C1438" s="372" t="s">
        <v>1771</v>
      </c>
      <c r="D1438" s="382">
        <v>2342920</v>
      </c>
      <c r="E1438" s="383">
        <v>1477410.18</v>
      </c>
      <c r="F1438" s="384">
        <v>865509.82</v>
      </c>
      <c r="G1438" s="71" t="str">
        <f t="shared" si="23"/>
        <v>000</v>
      </c>
    </row>
    <row r="1439" spans="1:7" ht="22.5">
      <c r="A1439" s="373" t="s">
        <v>411</v>
      </c>
      <c r="B1439" s="374">
        <v>200</v>
      </c>
      <c r="C1439" s="372" t="s">
        <v>1772</v>
      </c>
      <c r="D1439" s="382">
        <v>65600</v>
      </c>
      <c r="E1439" s="383">
        <v>10621.46</v>
      </c>
      <c r="F1439" s="384">
        <v>54978.54</v>
      </c>
      <c r="G1439" s="71" t="str">
        <f aca="true" t="shared" si="24" ref="G1439:G1465">RIGHT(C1439,3)</f>
        <v>200</v>
      </c>
    </row>
    <row r="1440" spans="1:7" ht="22.5">
      <c r="A1440" s="373" t="s">
        <v>38</v>
      </c>
      <c r="B1440" s="374">
        <v>200</v>
      </c>
      <c r="C1440" s="372" t="s">
        <v>1773</v>
      </c>
      <c r="D1440" s="382">
        <v>65600</v>
      </c>
      <c r="E1440" s="383">
        <v>10621.46</v>
      </c>
      <c r="F1440" s="384">
        <v>54978.54</v>
      </c>
      <c r="G1440" s="71" t="str">
        <f t="shared" si="24"/>
        <v>240</v>
      </c>
    </row>
    <row r="1441" spans="1:7" ht="12.75">
      <c r="A1441" s="370" t="s">
        <v>1658</v>
      </c>
      <c r="B1441" s="371">
        <v>200</v>
      </c>
      <c r="C1441" s="369" t="s">
        <v>1774</v>
      </c>
      <c r="D1441" s="385">
        <v>65600</v>
      </c>
      <c r="E1441" s="380">
        <v>10621.46</v>
      </c>
      <c r="F1441" s="386">
        <v>54978.54</v>
      </c>
      <c r="G1441" s="71" t="str">
        <f t="shared" si="24"/>
        <v>244</v>
      </c>
    </row>
    <row r="1442" spans="1:7" ht="12.75">
      <c r="A1442" s="373" t="s">
        <v>43</v>
      </c>
      <c r="B1442" s="374">
        <v>200</v>
      </c>
      <c r="C1442" s="372" t="s">
        <v>1775</v>
      </c>
      <c r="D1442" s="382">
        <v>2277320</v>
      </c>
      <c r="E1442" s="383">
        <v>1466788.72</v>
      </c>
      <c r="F1442" s="384">
        <v>810531.28</v>
      </c>
      <c r="G1442" s="71" t="str">
        <f t="shared" si="24"/>
        <v>300</v>
      </c>
    </row>
    <row r="1443" spans="1:7" ht="22.5">
      <c r="A1443" s="373" t="s">
        <v>44</v>
      </c>
      <c r="B1443" s="374">
        <v>200</v>
      </c>
      <c r="C1443" s="372" t="s">
        <v>1776</v>
      </c>
      <c r="D1443" s="382">
        <v>2277320</v>
      </c>
      <c r="E1443" s="383">
        <v>1466788.72</v>
      </c>
      <c r="F1443" s="384">
        <v>810531.28</v>
      </c>
      <c r="G1443" s="71" t="str">
        <f t="shared" si="24"/>
        <v>320</v>
      </c>
    </row>
    <row r="1444" spans="1:7" ht="22.5">
      <c r="A1444" s="370" t="s">
        <v>1075</v>
      </c>
      <c r="B1444" s="371">
        <v>200</v>
      </c>
      <c r="C1444" s="369" t="s">
        <v>1777</v>
      </c>
      <c r="D1444" s="385">
        <v>2277320</v>
      </c>
      <c r="E1444" s="380">
        <v>1466788.72</v>
      </c>
      <c r="F1444" s="386">
        <v>810531.28</v>
      </c>
      <c r="G1444" s="71" t="str">
        <f t="shared" si="24"/>
        <v>321</v>
      </c>
    </row>
    <row r="1445" spans="1:7" ht="78.75">
      <c r="A1445" s="377" t="s">
        <v>1778</v>
      </c>
      <c r="B1445" s="374">
        <v>200</v>
      </c>
      <c r="C1445" s="372" t="s">
        <v>905</v>
      </c>
      <c r="D1445" s="382">
        <v>19543300</v>
      </c>
      <c r="E1445" s="383">
        <v>18819456.49</v>
      </c>
      <c r="F1445" s="384">
        <v>723843.51</v>
      </c>
      <c r="G1445" s="71" t="str">
        <f t="shared" si="24"/>
        <v>000</v>
      </c>
    </row>
    <row r="1446" spans="1:7" ht="22.5">
      <c r="A1446" s="373" t="s">
        <v>411</v>
      </c>
      <c r="B1446" s="374">
        <v>200</v>
      </c>
      <c r="C1446" s="372" t="s">
        <v>906</v>
      </c>
      <c r="D1446" s="382">
        <v>19543300</v>
      </c>
      <c r="E1446" s="383">
        <v>18819456.49</v>
      </c>
      <c r="F1446" s="384">
        <v>723843.51</v>
      </c>
      <c r="G1446" s="71" t="str">
        <f t="shared" si="24"/>
        <v>200</v>
      </c>
    </row>
    <row r="1447" spans="1:7" ht="22.5">
      <c r="A1447" s="373" t="s">
        <v>38</v>
      </c>
      <c r="B1447" s="374">
        <v>200</v>
      </c>
      <c r="C1447" s="372" t="s">
        <v>907</v>
      </c>
      <c r="D1447" s="382">
        <v>19543300</v>
      </c>
      <c r="E1447" s="383">
        <v>18819456.49</v>
      </c>
      <c r="F1447" s="384">
        <v>723843.51</v>
      </c>
      <c r="G1447" s="71" t="str">
        <f t="shared" si="24"/>
        <v>240</v>
      </c>
    </row>
    <row r="1448" spans="1:7" ht="12.75">
      <c r="A1448" s="370" t="s">
        <v>1658</v>
      </c>
      <c r="B1448" s="371">
        <v>200</v>
      </c>
      <c r="C1448" s="369" t="s">
        <v>908</v>
      </c>
      <c r="D1448" s="385">
        <v>19543300</v>
      </c>
      <c r="E1448" s="380">
        <v>18819456.49</v>
      </c>
      <c r="F1448" s="386">
        <v>723843.51</v>
      </c>
      <c r="G1448" s="71" t="str">
        <f t="shared" si="24"/>
        <v>244</v>
      </c>
    </row>
    <row r="1449" spans="1:7" ht="146.25">
      <c r="A1449" s="377" t="s">
        <v>1779</v>
      </c>
      <c r="B1449" s="374">
        <v>200</v>
      </c>
      <c r="C1449" s="372" t="s">
        <v>909</v>
      </c>
      <c r="D1449" s="382">
        <v>62891600</v>
      </c>
      <c r="E1449" s="383">
        <v>62890978.32</v>
      </c>
      <c r="F1449" s="384">
        <v>621.68</v>
      </c>
      <c r="G1449" s="71" t="str">
        <f t="shared" si="24"/>
        <v>000</v>
      </c>
    </row>
    <row r="1450" spans="1:7" ht="22.5">
      <c r="A1450" s="373" t="s">
        <v>411</v>
      </c>
      <c r="B1450" s="374">
        <v>200</v>
      </c>
      <c r="C1450" s="372" t="s">
        <v>910</v>
      </c>
      <c r="D1450" s="382">
        <v>62771761.72</v>
      </c>
      <c r="E1450" s="383">
        <v>62771140.04</v>
      </c>
      <c r="F1450" s="384">
        <v>621.68</v>
      </c>
      <c r="G1450" s="71" t="str">
        <f t="shared" si="24"/>
        <v>200</v>
      </c>
    </row>
    <row r="1451" spans="1:7" ht="22.5">
      <c r="A1451" s="373" t="s">
        <v>38</v>
      </c>
      <c r="B1451" s="374">
        <v>200</v>
      </c>
      <c r="C1451" s="372" t="s">
        <v>911</v>
      </c>
      <c r="D1451" s="382">
        <v>62771761.72</v>
      </c>
      <c r="E1451" s="383">
        <v>62771140.04</v>
      </c>
      <c r="F1451" s="384">
        <v>621.68</v>
      </c>
      <c r="G1451" s="71" t="str">
        <f t="shared" si="24"/>
        <v>240</v>
      </c>
    </row>
    <row r="1452" spans="1:7" ht="12.75">
      <c r="A1452" s="370" t="s">
        <v>1658</v>
      </c>
      <c r="B1452" s="371">
        <v>200</v>
      </c>
      <c r="C1452" s="369" t="s">
        <v>912</v>
      </c>
      <c r="D1452" s="385">
        <v>62771761.72</v>
      </c>
      <c r="E1452" s="380">
        <v>62771140.04</v>
      </c>
      <c r="F1452" s="386">
        <v>621.68</v>
      </c>
      <c r="G1452" s="71" t="str">
        <f t="shared" si="24"/>
        <v>244</v>
      </c>
    </row>
    <row r="1453" spans="1:7" ht="12.75">
      <c r="A1453" s="373" t="s">
        <v>43</v>
      </c>
      <c r="B1453" s="374">
        <v>200</v>
      </c>
      <c r="C1453" s="372" t="s">
        <v>913</v>
      </c>
      <c r="D1453" s="382">
        <v>119838.28</v>
      </c>
      <c r="E1453" s="383">
        <v>119838.28</v>
      </c>
      <c r="F1453" s="384">
        <v>0</v>
      </c>
      <c r="G1453" s="71" t="str">
        <f t="shared" si="24"/>
        <v>300</v>
      </c>
    </row>
    <row r="1454" spans="1:7" ht="22.5">
      <c r="A1454" s="373" t="s">
        <v>44</v>
      </c>
      <c r="B1454" s="374">
        <v>200</v>
      </c>
      <c r="C1454" s="372" t="s">
        <v>914</v>
      </c>
      <c r="D1454" s="382">
        <v>119838.28</v>
      </c>
      <c r="E1454" s="383">
        <v>119838.28</v>
      </c>
      <c r="F1454" s="384">
        <v>0</v>
      </c>
      <c r="G1454" s="71" t="str">
        <f t="shared" si="24"/>
        <v>320</v>
      </c>
    </row>
    <row r="1455" spans="1:7" ht="22.5">
      <c r="A1455" s="370" t="s">
        <v>1075</v>
      </c>
      <c r="B1455" s="371">
        <v>200</v>
      </c>
      <c r="C1455" s="369" t="s">
        <v>915</v>
      </c>
      <c r="D1455" s="385">
        <v>119838.28</v>
      </c>
      <c r="E1455" s="380">
        <v>119838.28</v>
      </c>
      <c r="F1455" s="386">
        <v>0</v>
      </c>
      <c r="G1455" s="71" t="str">
        <f t="shared" si="24"/>
        <v>321</v>
      </c>
    </row>
    <row r="1456" spans="1:7" ht="56.25">
      <c r="A1456" s="377" t="s">
        <v>1780</v>
      </c>
      <c r="B1456" s="374">
        <v>200</v>
      </c>
      <c r="C1456" s="372" t="s">
        <v>916</v>
      </c>
      <c r="D1456" s="382">
        <v>722700</v>
      </c>
      <c r="E1456" s="383">
        <v>715883.25</v>
      </c>
      <c r="F1456" s="384">
        <v>6816.75</v>
      </c>
      <c r="G1456" s="71" t="str">
        <f t="shared" si="24"/>
        <v>000</v>
      </c>
    </row>
    <row r="1457" spans="1:7" ht="22.5">
      <c r="A1457" s="373" t="s">
        <v>411</v>
      </c>
      <c r="B1457" s="374">
        <v>200</v>
      </c>
      <c r="C1457" s="372" t="s">
        <v>947</v>
      </c>
      <c r="D1457" s="382">
        <v>32326</v>
      </c>
      <c r="E1457" s="383">
        <v>25509.25</v>
      </c>
      <c r="F1457" s="384">
        <v>6816.75</v>
      </c>
      <c r="G1457" s="71" t="str">
        <f t="shared" si="24"/>
        <v>200</v>
      </c>
    </row>
    <row r="1458" spans="1:7" ht="22.5">
      <c r="A1458" s="373" t="s">
        <v>38</v>
      </c>
      <c r="B1458" s="374">
        <v>200</v>
      </c>
      <c r="C1458" s="372" t="s">
        <v>948</v>
      </c>
      <c r="D1458" s="382">
        <v>32326</v>
      </c>
      <c r="E1458" s="383">
        <v>25509.25</v>
      </c>
      <c r="F1458" s="384">
        <v>6816.75</v>
      </c>
      <c r="G1458" s="71" t="str">
        <f t="shared" si="24"/>
        <v>240</v>
      </c>
    </row>
    <row r="1459" spans="1:7" ht="12.75">
      <c r="A1459" s="370" t="s">
        <v>1658</v>
      </c>
      <c r="B1459" s="371">
        <v>200</v>
      </c>
      <c r="C1459" s="369" t="s">
        <v>949</v>
      </c>
      <c r="D1459" s="385">
        <v>32326</v>
      </c>
      <c r="E1459" s="380">
        <v>25509.25</v>
      </c>
      <c r="F1459" s="386">
        <v>6816.75</v>
      </c>
      <c r="G1459" s="71" t="str">
        <f t="shared" si="24"/>
        <v>244</v>
      </c>
    </row>
    <row r="1460" spans="1:7" ht="22.5">
      <c r="A1460" s="373" t="s">
        <v>46</v>
      </c>
      <c r="B1460" s="374">
        <v>200</v>
      </c>
      <c r="C1460" s="372" t="s">
        <v>950</v>
      </c>
      <c r="D1460" s="382">
        <v>690374</v>
      </c>
      <c r="E1460" s="383">
        <v>690374</v>
      </c>
      <c r="F1460" s="384">
        <v>0</v>
      </c>
      <c r="G1460" s="71" t="str">
        <f t="shared" si="24"/>
        <v>600</v>
      </c>
    </row>
    <row r="1461" spans="1:7" ht="12.75">
      <c r="A1461" s="373" t="s">
        <v>48</v>
      </c>
      <c r="B1461" s="374">
        <v>200</v>
      </c>
      <c r="C1461" s="372" t="s">
        <v>951</v>
      </c>
      <c r="D1461" s="382">
        <v>690374</v>
      </c>
      <c r="E1461" s="383">
        <v>690374</v>
      </c>
      <c r="F1461" s="384">
        <v>0</v>
      </c>
      <c r="G1461" s="71" t="str">
        <f t="shared" si="24"/>
        <v>610</v>
      </c>
    </row>
    <row r="1462" spans="1:7" ht="12.75">
      <c r="A1462" s="370" t="s">
        <v>652</v>
      </c>
      <c r="B1462" s="371">
        <v>200</v>
      </c>
      <c r="C1462" s="369" t="s">
        <v>952</v>
      </c>
      <c r="D1462" s="385">
        <v>690374</v>
      </c>
      <c r="E1462" s="380">
        <v>690374</v>
      </c>
      <c r="F1462" s="386">
        <v>0</v>
      </c>
      <c r="G1462" s="71" t="str">
        <f t="shared" si="24"/>
        <v>612</v>
      </c>
    </row>
    <row r="1463" spans="1:7" ht="45">
      <c r="A1463" s="377" t="s">
        <v>1597</v>
      </c>
      <c r="B1463" s="374">
        <v>200</v>
      </c>
      <c r="C1463" s="372" t="s">
        <v>953</v>
      </c>
      <c r="D1463" s="382">
        <v>11879700</v>
      </c>
      <c r="E1463" s="383">
        <v>8922543.52</v>
      </c>
      <c r="F1463" s="384">
        <v>2957156.48</v>
      </c>
      <c r="G1463" s="71" t="str">
        <f t="shared" si="24"/>
        <v>000</v>
      </c>
    </row>
    <row r="1464" spans="1:7" ht="168.75">
      <c r="A1464" s="377" t="s">
        <v>1781</v>
      </c>
      <c r="B1464" s="374">
        <v>200</v>
      </c>
      <c r="C1464" s="372" t="s">
        <v>954</v>
      </c>
      <c r="D1464" s="382">
        <v>4858200</v>
      </c>
      <c r="E1464" s="383">
        <v>2800365.16</v>
      </c>
      <c r="F1464" s="384">
        <v>2057834.84</v>
      </c>
      <c r="G1464" s="71" t="str">
        <f t="shared" si="24"/>
        <v>000</v>
      </c>
    </row>
    <row r="1465" spans="1:7" ht="12.75">
      <c r="A1465" s="373" t="s">
        <v>43</v>
      </c>
      <c r="B1465" s="374">
        <v>200</v>
      </c>
      <c r="C1465" s="372" t="s">
        <v>955</v>
      </c>
      <c r="D1465" s="382">
        <v>4858200</v>
      </c>
      <c r="E1465" s="383">
        <v>2800365.16</v>
      </c>
      <c r="F1465" s="384">
        <v>2057834.84</v>
      </c>
      <c r="G1465" s="71" t="str">
        <f t="shared" si="24"/>
        <v>300</v>
      </c>
    </row>
    <row r="1466" spans="1:6" ht="22.5">
      <c r="A1466" s="373" t="s">
        <v>44</v>
      </c>
      <c r="B1466" s="374">
        <v>200</v>
      </c>
      <c r="C1466" s="372" t="s">
        <v>956</v>
      </c>
      <c r="D1466" s="382">
        <v>2815800</v>
      </c>
      <c r="E1466" s="383">
        <v>885065.16</v>
      </c>
      <c r="F1466" s="384">
        <v>1930734.84</v>
      </c>
    </row>
    <row r="1467" spans="1:6" ht="22.5">
      <c r="A1467" s="370" t="s">
        <v>1075</v>
      </c>
      <c r="B1467" s="371">
        <v>200</v>
      </c>
      <c r="C1467" s="369" t="s">
        <v>957</v>
      </c>
      <c r="D1467" s="385">
        <v>2490800</v>
      </c>
      <c r="E1467" s="380">
        <v>622565.16</v>
      </c>
      <c r="F1467" s="386">
        <v>1868234.84</v>
      </c>
    </row>
    <row r="1468" spans="1:6" ht="22.5">
      <c r="A1468" s="370" t="s">
        <v>50</v>
      </c>
      <c r="B1468" s="371">
        <v>200</v>
      </c>
      <c r="C1468" s="369" t="s">
        <v>958</v>
      </c>
      <c r="D1468" s="385">
        <v>325000</v>
      </c>
      <c r="E1468" s="380">
        <v>262500</v>
      </c>
      <c r="F1468" s="386">
        <v>62500</v>
      </c>
    </row>
    <row r="1469" spans="1:6" ht="12.75">
      <c r="A1469" s="370" t="s">
        <v>633</v>
      </c>
      <c r="B1469" s="371">
        <v>200</v>
      </c>
      <c r="C1469" s="369" t="s">
        <v>959</v>
      </c>
      <c r="D1469" s="385">
        <v>2042400</v>
      </c>
      <c r="E1469" s="380">
        <v>1915300</v>
      </c>
      <c r="F1469" s="386">
        <v>127100</v>
      </c>
    </row>
    <row r="1470" spans="1:6" ht="90">
      <c r="A1470" s="377" t="s">
        <v>1782</v>
      </c>
      <c r="B1470" s="374">
        <v>200</v>
      </c>
      <c r="C1470" s="372" t="s">
        <v>960</v>
      </c>
      <c r="D1470" s="382">
        <v>7021500</v>
      </c>
      <c r="E1470" s="383">
        <v>6122178.36</v>
      </c>
      <c r="F1470" s="384">
        <v>899321.64</v>
      </c>
    </row>
    <row r="1471" spans="1:6" ht="22.5">
      <c r="A1471" s="373" t="s">
        <v>411</v>
      </c>
      <c r="B1471" s="374">
        <v>200</v>
      </c>
      <c r="C1471" s="372" t="s">
        <v>961</v>
      </c>
      <c r="D1471" s="382">
        <v>7021500</v>
      </c>
      <c r="E1471" s="383">
        <v>6122178.36</v>
      </c>
      <c r="F1471" s="384">
        <v>899321.64</v>
      </c>
    </row>
    <row r="1472" spans="1:6" ht="22.5">
      <c r="A1472" s="373" t="s">
        <v>38</v>
      </c>
      <c r="B1472" s="374">
        <v>200</v>
      </c>
      <c r="C1472" s="372" t="s">
        <v>962</v>
      </c>
      <c r="D1472" s="382">
        <v>7021500</v>
      </c>
      <c r="E1472" s="383">
        <v>6122178.36</v>
      </c>
      <c r="F1472" s="384">
        <v>899321.64</v>
      </c>
    </row>
    <row r="1473" spans="1:6" ht="12.75">
      <c r="A1473" s="370" t="s">
        <v>1658</v>
      </c>
      <c r="B1473" s="371">
        <v>200</v>
      </c>
      <c r="C1473" s="369" t="s">
        <v>963</v>
      </c>
      <c r="D1473" s="385">
        <v>7021500</v>
      </c>
      <c r="E1473" s="380">
        <v>6122178.36</v>
      </c>
      <c r="F1473" s="386">
        <v>899321.64</v>
      </c>
    </row>
    <row r="1474" spans="1:6" ht="12.75">
      <c r="A1474" s="373" t="s">
        <v>600</v>
      </c>
      <c r="B1474" s="374">
        <v>200</v>
      </c>
      <c r="C1474" s="372" t="s">
        <v>964</v>
      </c>
      <c r="D1474" s="382">
        <v>19704550</v>
      </c>
      <c r="E1474" s="383">
        <v>18221147.58</v>
      </c>
      <c r="F1474" s="384">
        <v>1483402.42</v>
      </c>
    </row>
    <row r="1475" spans="1:6" ht="33.75">
      <c r="A1475" s="373" t="s">
        <v>1410</v>
      </c>
      <c r="B1475" s="374">
        <v>200</v>
      </c>
      <c r="C1475" s="372" t="s">
        <v>965</v>
      </c>
      <c r="D1475" s="382">
        <v>19704550</v>
      </c>
      <c r="E1475" s="383">
        <v>18221147.58</v>
      </c>
      <c r="F1475" s="384">
        <v>1483402.42</v>
      </c>
    </row>
    <row r="1476" spans="1:6" ht="33.75">
      <c r="A1476" s="373" t="s">
        <v>1783</v>
      </c>
      <c r="B1476" s="374">
        <v>200</v>
      </c>
      <c r="C1476" s="372" t="s">
        <v>1784</v>
      </c>
      <c r="D1476" s="382">
        <v>7823800</v>
      </c>
      <c r="E1476" s="383">
        <v>6689922.58</v>
      </c>
      <c r="F1476" s="384">
        <v>1133877.42</v>
      </c>
    </row>
    <row r="1477" spans="1:6" ht="22.5">
      <c r="A1477" s="373" t="s">
        <v>411</v>
      </c>
      <c r="B1477" s="374">
        <v>200</v>
      </c>
      <c r="C1477" s="372" t="s">
        <v>1785</v>
      </c>
      <c r="D1477" s="382">
        <v>188100</v>
      </c>
      <c r="E1477" s="383">
        <v>43073.46</v>
      </c>
      <c r="F1477" s="384">
        <v>145026.54</v>
      </c>
    </row>
    <row r="1478" spans="1:6" ht="22.5">
      <c r="A1478" s="373" t="s">
        <v>38</v>
      </c>
      <c r="B1478" s="374">
        <v>200</v>
      </c>
      <c r="C1478" s="372" t="s">
        <v>1786</v>
      </c>
      <c r="D1478" s="382">
        <v>188100</v>
      </c>
      <c r="E1478" s="383">
        <v>43073.46</v>
      </c>
      <c r="F1478" s="384">
        <v>145026.54</v>
      </c>
    </row>
    <row r="1479" spans="1:6" ht="12.75">
      <c r="A1479" s="370" t="s">
        <v>1658</v>
      </c>
      <c r="B1479" s="371">
        <v>200</v>
      </c>
      <c r="C1479" s="369" t="s">
        <v>1787</v>
      </c>
      <c r="D1479" s="385">
        <v>188100</v>
      </c>
      <c r="E1479" s="380">
        <v>43073.46</v>
      </c>
      <c r="F1479" s="386">
        <v>145026.54</v>
      </c>
    </row>
    <row r="1480" spans="1:6" ht="12.75">
      <c r="A1480" s="373" t="s">
        <v>43</v>
      </c>
      <c r="B1480" s="374">
        <v>200</v>
      </c>
      <c r="C1480" s="372" t="s">
        <v>1788</v>
      </c>
      <c r="D1480" s="382">
        <v>7635700</v>
      </c>
      <c r="E1480" s="383">
        <v>6646849.12</v>
      </c>
      <c r="F1480" s="384">
        <v>988850.88</v>
      </c>
    </row>
    <row r="1481" spans="1:6" ht="22.5">
      <c r="A1481" s="373" t="s">
        <v>44</v>
      </c>
      <c r="B1481" s="374">
        <v>200</v>
      </c>
      <c r="C1481" s="372" t="s">
        <v>1789</v>
      </c>
      <c r="D1481" s="382">
        <v>7635700</v>
      </c>
      <c r="E1481" s="383">
        <v>6646849.12</v>
      </c>
      <c r="F1481" s="384">
        <v>988850.88</v>
      </c>
    </row>
    <row r="1482" spans="1:6" ht="22.5">
      <c r="A1482" s="370" t="s">
        <v>1075</v>
      </c>
      <c r="B1482" s="371">
        <v>200</v>
      </c>
      <c r="C1482" s="369" t="s">
        <v>1790</v>
      </c>
      <c r="D1482" s="385">
        <v>7635700</v>
      </c>
      <c r="E1482" s="380">
        <v>6646849.12</v>
      </c>
      <c r="F1482" s="386">
        <v>988850.88</v>
      </c>
    </row>
    <row r="1483" spans="1:6" ht="33.75">
      <c r="A1483" s="373" t="s">
        <v>681</v>
      </c>
      <c r="B1483" s="374">
        <v>200</v>
      </c>
      <c r="C1483" s="372" t="s">
        <v>966</v>
      </c>
      <c r="D1483" s="382">
        <v>11880750</v>
      </c>
      <c r="E1483" s="383">
        <v>11531225</v>
      </c>
      <c r="F1483" s="384">
        <v>349525</v>
      </c>
    </row>
    <row r="1484" spans="1:6" ht="22.5">
      <c r="A1484" s="373" t="s">
        <v>1159</v>
      </c>
      <c r="B1484" s="374">
        <v>200</v>
      </c>
      <c r="C1484" s="372" t="s">
        <v>1156</v>
      </c>
      <c r="D1484" s="382">
        <v>11880750</v>
      </c>
      <c r="E1484" s="383">
        <v>11531225</v>
      </c>
      <c r="F1484" s="384">
        <v>349525</v>
      </c>
    </row>
    <row r="1485" spans="1:6" ht="12.75">
      <c r="A1485" s="373" t="s">
        <v>1160</v>
      </c>
      <c r="B1485" s="374">
        <v>200</v>
      </c>
      <c r="C1485" s="372" t="s">
        <v>1157</v>
      </c>
      <c r="D1485" s="382">
        <v>11880750</v>
      </c>
      <c r="E1485" s="383">
        <v>11531225</v>
      </c>
      <c r="F1485" s="384">
        <v>349525</v>
      </c>
    </row>
    <row r="1486" spans="1:6" ht="22.5">
      <c r="A1486" s="370" t="s">
        <v>1155</v>
      </c>
      <c r="B1486" s="371">
        <v>200</v>
      </c>
      <c r="C1486" s="369" t="s">
        <v>1158</v>
      </c>
      <c r="D1486" s="385">
        <v>11880750</v>
      </c>
      <c r="E1486" s="380">
        <v>11531225</v>
      </c>
      <c r="F1486" s="386">
        <v>349525</v>
      </c>
    </row>
    <row r="1487" spans="1:6" ht="12.75">
      <c r="A1487" s="373" t="s">
        <v>95</v>
      </c>
      <c r="B1487" s="374">
        <v>200</v>
      </c>
      <c r="C1487" s="372" t="s">
        <v>2459</v>
      </c>
      <c r="D1487" s="382">
        <v>45083.04</v>
      </c>
      <c r="E1487" s="383">
        <v>45083.04</v>
      </c>
      <c r="F1487" s="384">
        <v>0</v>
      </c>
    </row>
    <row r="1488" spans="1:6" ht="12.75">
      <c r="A1488" s="373" t="s">
        <v>11</v>
      </c>
      <c r="B1488" s="374">
        <v>200</v>
      </c>
      <c r="C1488" s="372" t="s">
        <v>2460</v>
      </c>
      <c r="D1488" s="382">
        <v>45083.04</v>
      </c>
      <c r="E1488" s="383">
        <v>45083.04</v>
      </c>
      <c r="F1488" s="384">
        <v>0</v>
      </c>
    </row>
    <row r="1489" spans="1:6" ht="33.75">
      <c r="A1489" s="373" t="s">
        <v>1410</v>
      </c>
      <c r="B1489" s="374">
        <v>200</v>
      </c>
      <c r="C1489" s="372" t="s">
        <v>2461</v>
      </c>
      <c r="D1489" s="382">
        <v>45083.04</v>
      </c>
      <c r="E1489" s="383">
        <v>45083.04</v>
      </c>
      <c r="F1489" s="384">
        <v>0</v>
      </c>
    </row>
    <row r="1490" spans="1:6" ht="22.5">
      <c r="A1490" s="373" t="s">
        <v>660</v>
      </c>
      <c r="B1490" s="374">
        <v>200</v>
      </c>
      <c r="C1490" s="372" t="s">
        <v>2462</v>
      </c>
      <c r="D1490" s="382">
        <v>45083.04</v>
      </c>
      <c r="E1490" s="383">
        <v>45083.04</v>
      </c>
      <c r="F1490" s="384">
        <v>0</v>
      </c>
    </row>
    <row r="1491" spans="1:6" ht="33.75">
      <c r="A1491" s="373" t="s">
        <v>36</v>
      </c>
      <c r="B1491" s="374">
        <v>200</v>
      </c>
      <c r="C1491" s="372" t="s">
        <v>2463</v>
      </c>
      <c r="D1491" s="382">
        <v>45083.04</v>
      </c>
      <c r="E1491" s="383">
        <v>45083.04</v>
      </c>
      <c r="F1491" s="384">
        <v>0</v>
      </c>
    </row>
    <row r="1492" spans="1:6" ht="12.75">
      <c r="A1492" s="373" t="s">
        <v>41</v>
      </c>
      <c r="B1492" s="374">
        <v>200</v>
      </c>
      <c r="C1492" s="372" t="s">
        <v>2464</v>
      </c>
      <c r="D1492" s="382">
        <v>45083.04</v>
      </c>
      <c r="E1492" s="383">
        <v>45083.04</v>
      </c>
      <c r="F1492" s="384">
        <v>0</v>
      </c>
    </row>
    <row r="1493" spans="1:6" ht="12.75">
      <c r="A1493" s="370" t="s">
        <v>412</v>
      </c>
      <c r="B1493" s="371">
        <v>200</v>
      </c>
      <c r="C1493" s="369" t="s">
        <v>2465</v>
      </c>
      <c r="D1493" s="385">
        <v>34626</v>
      </c>
      <c r="E1493" s="380">
        <v>34626</v>
      </c>
      <c r="F1493" s="386">
        <v>0</v>
      </c>
    </row>
    <row r="1494" spans="1:6" ht="22.5">
      <c r="A1494" s="370" t="s">
        <v>414</v>
      </c>
      <c r="B1494" s="371">
        <v>200</v>
      </c>
      <c r="C1494" s="369" t="s">
        <v>2466</v>
      </c>
      <c r="D1494" s="385">
        <v>10457.04</v>
      </c>
      <c r="E1494" s="380">
        <v>10457.04</v>
      </c>
      <c r="F1494" s="386">
        <v>0</v>
      </c>
    </row>
    <row r="1495" spans="1:6" ht="22.5">
      <c r="A1495" s="373" t="s">
        <v>159</v>
      </c>
      <c r="B1495" s="374">
        <v>200</v>
      </c>
      <c r="C1495" s="372" t="s">
        <v>160</v>
      </c>
      <c r="D1495" s="382">
        <v>143622221.76</v>
      </c>
      <c r="E1495" s="383">
        <v>138185788</v>
      </c>
      <c r="F1495" s="384">
        <v>5436433.76</v>
      </c>
    </row>
    <row r="1496" spans="1:6" ht="12.75">
      <c r="A1496" s="373" t="s">
        <v>331</v>
      </c>
      <c r="B1496" s="374">
        <v>200</v>
      </c>
      <c r="C1496" s="372" t="s">
        <v>161</v>
      </c>
      <c r="D1496" s="382">
        <v>143622221.76</v>
      </c>
      <c r="E1496" s="383">
        <v>138185788</v>
      </c>
      <c r="F1496" s="384">
        <v>5436433.76</v>
      </c>
    </row>
    <row r="1497" spans="1:6" ht="22.5">
      <c r="A1497" s="373" t="s">
        <v>491</v>
      </c>
      <c r="B1497" s="374">
        <v>200</v>
      </c>
      <c r="C1497" s="372" t="s">
        <v>162</v>
      </c>
      <c r="D1497" s="382">
        <v>143234421.76</v>
      </c>
      <c r="E1497" s="383">
        <v>137797988</v>
      </c>
      <c r="F1497" s="384">
        <v>5436433.76</v>
      </c>
    </row>
    <row r="1498" spans="1:6" ht="45">
      <c r="A1498" s="373" t="s">
        <v>0</v>
      </c>
      <c r="B1498" s="374">
        <v>200</v>
      </c>
      <c r="C1498" s="372" t="s">
        <v>163</v>
      </c>
      <c r="D1498" s="382">
        <v>139188863.77</v>
      </c>
      <c r="E1498" s="383">
        <v>133959306.61</v>
      </c>
      <c r="F1498" s="384">
        <v>5229557.16</v>
      </c>
    </row>
    <row r="1499" spans="1:6" ht="12.75">
      <c r="A1499" s="373" t="s">
        <v>1299</v>
      </c>
      <c r="B1499" s="374">
        <v>200</v>
      </c>
      <c r="C1499" s="372" t="s">
        <v>164</v>
      </c>
      <c r="D1499" s="382">
        <v>50818024.29</v>
      </c>
      <c r="E1499" s="383">
        <v>50342334.77</v>
      </c>
      <c r="F1499" s="384">
        <v>475689.52</v>
      </c>
    </row>
    <row r="1500" spans="1:6" ht="33.75">
      <c r="A1500" s="373" t="s">
        <v>36</v>
      </c>
      <c r="B1500" s="374">
        <v>200</v>
      </c>
      <c r="C1500" s="372" t="s">
        <v>165</v>
      </c>
      <c r="D1500" s="382">
        <v>41827805.96</v>
      </c>
      <c r="E1500" s="383">
        <v>41827805.36</v>
      </c>
      <c r="F1500" s="384">
        <v>0.6</v>
      </c>
    </row>
    <row r="1501" spans="1:6" ht="12.75">
      <c r="A1501" s="373" t="s">
        <v>41</v>
      </c>
      <c r="B1501" s="374">
        <v>200</v>
      </c>
      <c r="C1501" s="372" t="s">
        <v>166</v>
      </c>
      <c r="D1501" s="382">
        <v>33169177.4</v>
      </c>
      <c r="E1501" s="383">
        <v>33169177.4</v>
      </c>
      <c r="F1501" s="384">
        <v>0</v>
      </c>
    </row>
    <row r="1502" spans="1:6" ht="12.75">
      <c r="A1502" s="370" t="s">
        <v>412</v>
      </c>
      <c r="B1502" s="371">
        <v>200</v>
      </c>
      <c r="C1502" s="369" t="s">
        <v>167</v>
      </c>
      <c r="D1502" s="385">
        <v>24118928</v>
      </c>
      <c r="E1502" s="380">
        <v>24118928</v>
      </c>
      <c r="F1502" s="386">
        <v>0</v>
      </c>
    </row>
    <row r="1503" spans="1:6" ht="12.75">
      <c r="A1503" s="370" t="s">
        <v>413</v>
      </c>
      <c r="B1503" s="371">
        <v>200</v>
      </c>
      <c r="C1503" s="369" t="s">
        <v>168</v>
      </c>
      <c r="D1503" s="385">
        <v>1826302</v>
      </c>
      <c r="E1503" s="380">
        <v>1826302</v>
      </c>
      <c r="F1503" s="386">
        <v>0</v>
      </c>
    </row>
    <row r="1504" spans="1:6" ht="22.5">
      <c r="A1504" s="370" t="s">
        <v>414</v>
      </c>
      <c r="B1504" s="371">
        <v>200</v>
      </c>
      <c r="C1504" s="369" t="s">
        <v>169</v>
      </c>
      <c r="D1504" s="385">
        <v>7223947.4</v>
      </c>
      <c r="E1504" s="380">
        <v>7223947.4</v>
      </c>
      <c r="F1504" s="386">
        <v>0</v>
      </c>
    </row>
    <row r="1505" spans="1:6" ht="12.75">
      <c r="A1505" s="373" t="s">
        <v>37</v>
      </c>
      <c r="B1505" s="374">
        <v>200</v>
      </c>
      <c r="C1505" s="372" t="s">
        <v>170</v>
      </c>
      <c r="D1505" s="382">
        <v>8658628.56</v>
      </c>
      <c r="E1505" s="383">
        <v>8658627.96</v>
      </c>
      <c r="F1505" s="384">
        <v>0.6</v>
      </c>
    </row>
    <row r="1506" spans="1:6" ht="12.75">
      <c r="A1506" s="370" t="s">
        <v>1317</v>
      </c>
      <c r="B1506" s="371">
        <v>200</v>
      </c>
      <c r="C1506" s="369" t="s">
        <v>171</v>
      </c>
      <c r="D1506" s="385">
        <v>6096994.61</v>
      </c>
      <c r="E1506" s="380">
        <v>6096994.61</v>
      </c>
      <c r="F1506" s="386">
        <v>0</v>
      </c>
    </row>
    <row r="1507" spans="1:6" ht="22.5">
      <c r="A1507" s="370" t="s">
        <v>244</v>
      </c>
      <c r="B1507" s="371">
        <v>200</v>
      </c>
      <c r="C1507" s="369" t="s">
        <v>172</v>
      </c>
      <c r="D1507" s="385">
        <v>947201</v>
      </c>
      <c r="E1507" s="380">
        <v>947200.4</v>
      </c>
      <c r="F1507" s="386">
        <v>0.6</v>
      </c>
    </row>
    <row r="1508" spans="1:6" ht="33.75">
      <c r="A1508" s="370" t="s">
        <v>1318</v>
      </c>
      <c r="B1508" s="371">
        <v>200</v>
      </c>
      <c r="C1508" s="369" t="s">
        <v>173</v>
      </c>
      <c r="D1508" s="385">
        <v>1614432.95</v>
      </c>
      <c r="E1508" s="380">
        <v>1614432.95</v>
      </c>
      <c r="F1508" s="386">
        <v>0</v>
      </c>
    </row>
    <row r="1509" spans="1:6" ht="22.5">
      <c r="A1509" s="373" t="s">
        <v>411</v>
      </c>
      <c r="B1509" s="374">
        <v>200</v>
      </c>
      <c r="C1509" s="372" t="s">
        <v>174</v>
      </c>
      <c r="D1509" s="382">
        <v>8879835.33</v>
      </c>
      <c r="E1509" s="383">
        <v>8404146.78</v>
      </c>
      <c r="F1509" s="384">
        <v>475688.55</v>
      </c>
    </row>
    <row r="1510" spans="1:6" ht="22.5">
      <c r="A1510" s="373" t="s">
        <v>38</v>
      </c>
      <c r="B1510" s="374">
        <v>200</v>
      </c>
      <c r="C1510" s="372" t="s">
        <v>175</v>
      </c>
      <c r="D1510" s="382">
        <v>8879835.33</v>
      </c>
      <c r="E1510" s="383">
        <v>8404146.78</v>
      </c>
      <c r="F1510" s="384">
        <v>475688.55</v>
      </c>
    </row>
    <row r="1511" spans="1:6" ht="12.75">
      <c r="A1511" s="370" t="s">
        <v>1658</v>
      </c>
      <c r="B1511" s="371">
        <v>200</v>
      </c>
      <c r="C1511" s="369" t="s">
        <v>176</v>
      </c>
      <c r="D1511" s="385">
        <v>8879835.33</v>
      </c>
      <c r="E1511" s="380">
        <v>8404146.78</v>
      </c>
      <c r="F1511" s="386">
        <v>475688.55</v>
      </c>
    </row>
    <row r="1512" spans="1:6" ht="12.75">
      <c r="A1512" s="373" t="s">
        <v>39</v>
      </c>
      <c r="B1512" s="374">
        <v>200</v>
      </c>
      <c r="C1512" s="372" t="s">
        <v>177</v>
      </c>
      <c r="D1512" s="382">
        <v>110383</v>
      </c>
      <c r="E1512" s="383">
        <v>110382.63</v>
      </c>
      <c r="F1512" s="384">
        <v>0.37</v>
      </c>
    </row>
    <row r="1513" spans="1:6" ht="12.75">
      <c r="A1513" s="373" t="s">
        <v>40</v>
      </c>
      <c r="B1513" s="374">
        <v>200</v>
      </c>
      <c r="C1513" s="372" t="s">
        <v>178</v>
      </c>
      <c r="D1513" s="382">
        <v>110383</v>
      </c>
      <c r="E1513" s="383">
        <v>110382.63</v>
      </c>
      <c r="F1513" s="384">
        <v>0.37</v>
      </c>
    </row>
    <row r="1514" spans="1:6" ht="12.75">
      <c r="A1514" s="370" t="s">
        <v>1375</v>
      </c>
      <c r="B1514" s="371">
        <v>200</v>
      </c>
      <c r="C1514" s="369" t="s">
        <v>179</v>
      </c>
      <c r="D1514" s="385">
        <v>110383</v>
      </c>
      <c r="E1514" s="380">
        <v>110382.63</v>
      </c>
      <c r="F1514" s="386">
        <v>0.37</v>
      </c>
    </row>
    <row r="1515" spans="1:6" ht="45">
      <c r="A1515" s="377" t="s">
        <v>1593</v>
      </c>
      <c r="B1515" s="374">
        <v>200</v>
      </c>
      <c r="C1515" s="372" t="s">
        <v>180</v>
      </c>
      <c r="D1515" s="382">
        <v>1681976</v>
      </c>
      <c r="E1515" s="383">
        <v>1612054.79</v>
      </c>
      <c r="F1515" s="384">
        <v>69921.21</v>
      </c>
    </row>
    <row r="1516" spans="1:6" ht="33.75">
      <c r="A1516" s="373" t="s">
        <v>36</v>
      </c>
      <c r="B1516" s="374">
        <v>200</v>
      </c>
      <c r="C1516" s="372" t="s">
        <v>181</v>
      </c>
      <c r="D1516" s="382">
        <v>1681976</v>
      </c>
      <c r="E1516" s="383">
        <v>1612054.79</v>
      </c>
      <c r="F1516" s="384">
        <v>69921.21</v>
      </c>
    </row>
    <row r="1517" spans="1:6" ht="12.75">
      <c r="A1517" s="373" t="s">
        <v>37</v>
      </c>
      <c r="B1517" s="374">
        <v>200</v>
      </c>
      <c r="C1517" s="372" t="s">
        <v>182</v>
      </c>
      <c r="D1517" s="382">
        <v>1681976</v>
      </c>
      <c r="E1517" s="383">
        <v>1612054.79</v>
      </c>
      <c r="F1517" s="384">
        <v>69921.21</v>
      </c>
    </row>
    <row r="1518" spans="1:6" ht="12.75">
      <c r="A1518" s="370" t="s">
        <v>1317</v>
      </c>
      <c r="B1518" s="371">
        <v>200</v>
      </c>
      <c r="C1518" s="369" t="s">
        <v>183</v>
      </c>
      <c r="D1518" s="385">
        <v>1309421</v>
      </c>
      <c r="E1518" s="380">
        <v>1247589.7</v>
      </c>
      <c r="F1518" s="386">
        <v>61831.3</v>
      </c>
    </row>
    <row r="1519" spans="1:6" ht="33.75">
      <c r="A1519" s="370" t="s">
        <v>1318</v>
      </c>
      <c r="B1519" s="371">
        <v>200</v>
      </c>
      <c r="C1519" s="369" t="s">
        <v>184</v>
      </c>
      <c r="D1519" s="385">
        <v>372555</v>
      </c>
      <c r="E1519" s="380">
        <v>364465.09</v>
      </c>
      <c r="F1519" s="386">
        <v>8089.91</v>
      </c>
    </row>
    <row r="1520" spans="1:6" ht="22.5">
      <c r="A1520" s="373" t="s">
        <v>495</v>
      </c>
      <c r="B1520" s="374">
        <v>200</v>
      </c>
      <c r="C1520" s="372" t="s">
        <v>185</v>
      </c>
      <c r="D1520" s="382">
        <v>48548727.16</v>
      </c>
      <c r="E1520" s="383">
        <v>44285594.65</v>
      </c>
      <c r="F1520" s="384">
        <v>4263132.51</v>
      </c>
    </row>
    <row r="1521" spans="1:6" ht="33.75">
      <c r="A1521" s="373" t="s">
        <v>36</v>
      </c>
      <c r="B1521" s="374">
        <v>200</v>
      </c>
      <c r="C1521" s="372" t="s">
        <v>186</v>
      </c>
      <c r="D1521" s="382">
        <v>19601791.1</v>
      </c>
      <c r="E1521" s="383">
        <v>19601791.1</v>
      </c>
      <c r="F1521" s="384">
        <v>0</v>
      </c>
    </row>
    <row r="1522" spans="1:6" ht="12.75">
      <c r="A1522" s="373" t="s">
        <v>41</v>
      </c>
      <c r="B1522" s="374">
        <v>200</v>
      </c>
      <c r="C1522" s="372" t="s">
        <v>187</v>
      </c>
      <c r="D1522" s="382">
        <v>19601791.1</v>
      </c>
      <c r="E1522" s="383">
        <v>19601791.1</v>
      </c>
      <c r="F1522" s="384">
        <v>0</v>
      </c>
    </row>
    <row r="1523" spans="1:6" ht="12.75">
      <c r="A1523" s="370" t="s">
        <v>412</v>
      </c>
      <c r="B1523" s="371">
        <v>200</v>
      </c>
      <c r="C1523" s="369" t="s">
        <v>188</v>
      </c>
      <c r="D1523" s="385">
        <v>13994809</v>
      </c>
      <c r="E1523" s="380">
        <v>13994809</v>
      </c>
      <c r="F1523" s="386">
        <v>0</v>
      </c>
    </row>
    <row r="1524" spans="1:6" ht="12.75">
      <c r="A1524" s="370" t="s">
        <v>413</v>
      </c>
      <c r="B1524" s="371">
        <v>200</v>
      </c>
      <c r="C1524" s="369" t="s">
        <v>189</v>
      </c>
      <c r="D1524" s="385">
        <v>1380550</v>
      </c>
      <c r="E1524" s="380">
        <v>1380550</v>
      </c>
      <c r="F1524" s="386">
        <v>0</v>
      </c>
    </row>
    <row r="1525" spans="1:6" ht="22.5">
      <c r="A1525" s="370" t="s">
        <v>414</v>
      </c>
      <c r="B1525" s="371">
        <v>200</v>
      </c>
      <c r="C1525" s="369" t="s">
        <v>190</v>
      </c>
      <c r="D1525" s="385">
        <v>4226432.1</v>
      </c>
      <c r="E1525" s="380">
        <v>4226432.1</v>
      </c>
      <c r="F1525" s="386">
        <v>0</v>
      </c>
    </row>
    <row r="1526" spans="1:6" ht="22.5">
      <c r="A1526" s="373" t="s">
        <v>411</v>
      </c>
      <c r="B1526" s="374">
        <v>200</v>
      </c>
      <c r="C1526" s="372" t="s">
        <v>191</v>
      </c>
      <c r="D1526" s="382">
        <v>28941536.06</v>
      </c>
      <c r="E1526" s="383">
        <v>24678403.55</v>
      </c>
      <c r="F1526" s="384">
        <v>4263132.51</v>
      </c>
    </row>
    <row r="1527" spans="1:6" ht="22.5">
      <c r="A1527" s="373" t="s">
        <v>38</v>
      </c>
      <c r="B1527" s="374">
        <v>200</v>
      </c>
      <c r="C1527" s="372" t="s">
        <v>192</v>
      </c>
      <c r="D1527" s="382">
        <v>28941536.06</v>
      </c>
      <c r="E1527" s="383">
        <v>24678403.55</v>
      </c>
      <c r="F1527" s="384">
        <v>4263132.51</v>
      </c>
    </row>
    <row r="1528" spans="1:6" ht="12.75">
      <c r="A1528" s="370" t="s">
        <v>1658</v>
      </c>
      <c r="B1528" s="371">
        <v>200</v>
      </c>
      <c r="C1528" s="369" t="s">
        <v>193</v>
      </c>
      <c r="D1528" s="385">
        <v>28941536.06</v>
      </c>
      <c r="E1528" s="380">
        <v>24678403.55</v>
      </c>
      <c r="F1528" s="386">
        <v>4263132.51</v>
      </c>
    </row>
    <row r="1529" spans="1:6" ht="12.75">
      <c r="A1529" s="373" t="s">
        <v>39</v>
      </c>
      <c r="B1529" s="374">
        <v>200</v>
      </c>
      <c r="C1529" s="372" t="s">
        <v>1791</v>
      </c>
      <c r="D1529" s="382">
        <v>5400</v>
      </c>
      <c r="E1529" s="383">
        <v>5400</v>
      </c>
      <c r="F1529" s="384">
        <v>0</v>
      </c>
    </row>
    <row r="1530" spans="1:6" ht="12.75">
      <c r="A1530" s="373" t="s">
        <v>40</v>
      </c>
      <c r="B1530" s="374">
        <v>200</v>
      </c>
      <c r="C1530" s="372" t="s">
        <v>1792</v>
      </c>
      <c r="D1530" s="382">
        <v>5400</v>
      </c>
      <c r="E1530" s="383">
        <v>5400</v>
      </c>
      <c r="F1530" s="384">
        <v>0</v>
      </c>
    </row>
    <row r="1531" spans="1:6" ht="12.75">
      <c r="A1531" s="370" t="s">
        <v>632</v>
      </c>
      <c r="B1531" s="371">
        <v>200</v>
      </c>
      <c r="C1531" s="369" t="s">
        <v>1793</v>
      </c>
      <c r="D1531" s="385">
        <v>5400</v>
      </c>
      <c r="E1531" s="380">
        <v>5400</v>
      </c>
      <c r="F1531" s="386">
        <v>0</v>
      </c>
    </row>
    <row r="1532" spans="1:6" ht="22.5">
      <c r="A1532" s="373" t="s">
        <v>496</v>
      </c>
      <c r="B1532" s="374">
        <v>200</v>
      </c>
      <c r="C1532" s="372" t="s">
        <v>194</v>
      </c>
      <c r="D1532" s="382">
        <v>38140136.32</v>
      </c>
      <c r="E1532" s="383">
        <v>37719322.4</v>
      </c>
      <c r="F1532" s="384">
        <v>420813.92</v>
      </c>
    </row>
    <row r="1533" spans="1:6" ht="33.75">
      <c r="A1533" s="373" t="s">
        <v>36</v>
      </c>
      <c r="B1533" s="374">
        <v>200</v>
      </c>
      <c r="C1533" s="372" t="s">
        <v>195</v>
      </c>
      <c r="D1533" s="382">
        <v>33700383</v>
      </c>
      <c r="E1533" s="383">
        <v>33700382.63</v>
      </c>
      <c r="F1533" s="384">
        <v>0.37</v>
      </c>
    </row>
    <row r="1534" spans="1:6" ht="12.75">
      <c r="A1534" s="373" t="s">
        <v>41</v>
      </c>
      <c r="B1534" s="374">
        <v>200</v>
      </c>
      <c r="C1534" s="372" t="s">
        <v>196</v>
      </c>
      <c r="D1534" s="382">
        <v>33700383</v>
      </c>
      <c r="E1534" s="383">
        <v>33700382.63</v>
      </c>
      <c r="F1534" s="384">
        <v>0.37</v>
      </c>
    </row>
    <row r="1535" spans="1:6" ht="12.75">
      <c r="A1535" s="370" t="s">
        <v>412</v>
      </c>
      <c r="B1535" s="371">
        <v>200</v>
      </c>
      <c r="C1535" s="369" t="s">
        <v>197</v>
      </c>
      <c r="D1535" s="385">
        <v>24763885</v>
      </c>
      <c r="E1535" s="380">
        <v>24763885</v>
      </c>
      <c r="F1535" s="386">
        <v>0</v>
      </c>
    </row>
    <row r="1536" spans="1:6" ht="12.75">
      <c r="A1536" s="370" t="s">
        <v>413</v>
      </c>
      <c r="B1536" s="371">
        <v>200</v>
      </c>
      <c r="C1536" s="369" t="s">
        <v>198</v>
      </c>
      <c r="D1536" s="385">
        <v>2111841</v>
      </c>
      <c r="E1536" s="380">
        <v>2111840.63</v>
      </c>
      <c r="F1536" s="386">
        <v>0.37</v>
      </c>
    </row>
    <row r="1537" spans="1:6" ht="22.5">
      <c r="A1537" s="370" t="s">
        <v>414</v>
      </c>
      <c r="B1537" s="371">
        <v>200</v>
      </c>
      <c r="C1537" s="369" t="s">
        <v>199</v>
      </c>
      <c r="D1537" s="385">
        <v>6824657</v>
      </c>
      <c r="E1537" s="380">
        <v>6824657</v>
      </c>
      <c r="F1537" s="386">
        <v>0</v>
      </c>
    </row>
    <row r="1538" spans="1:6" ht="22.5">
      <c r="A1538" s="373" t="s">
        <v>411</v>
      </c>
      <c r="B1538" s="374">
        <v>200</v>
      </c>
      <c r="C1538" s="372" t="s">
        <v>200</v>
      </c>
      <c r="D1538" s="382">
        <v>4439153.32</v>
      </c>
      <c r="E1538" s="383">
        <v>4018339.77</v>
      </c>
      <c r="F1538" s="384">
        <v>420813.55</v>
      </c>
    </row>
    <row r="1539" spans="1:6" ht="22.5">
      <c r="A1539" s="373" t="s">
        <v>38</v>
      </c>
      <c r="B1539" s="374">
        <v>200</v>
      </c>
      <c r="C1539" s="372" t="s">
        <v>201</v>
      </c>
      <c r="D1539" s="382">
        <v>4439153.32</v>
      </c>
      <c r="E1539" s="383">
        <v>4018339.77</v>
      </c>
      <c r="F1539" s="384">
        <v>420813.55</v>
      </c>
    </row>
    <row r="1540" spans="1:6" ht="12.75">
      <c r="A1540" s="370" t="s">
        <v>1658</v>
      </c>
      <c r="B1540" s="371">
        <v>200</v>
      </c>
      <c r="C1540" s="369" t="s">
        <v>202</v>
      </c>
      <c r="D1540" s="385">
        <v>4439153.32</v>
      </c>
      <c r="E1540" s="380">
        <v>4018339.77</v>
      </c>
      <c r="F1540" s="386">
        <v>420813.55</v>
      </c>
    </row>
    <row r="1541" spans="1:6" ht="12.75">
      <c r="A1541" s="373" t="s">
        <v>39</v>
      </c>
      <c r="B1541" s="374">
        <v>200</v>
      </c>
      <c r="C1541" s="372" t="s">
        <v>1794</v>
      </c>
      <c r="D1541" s="382">
        <v>600</v>
      </c>
      <c r="E1541" s="383">
        <v>600</v>
      </c>
      <c r="F1541" s="384">
        <v>0</v>
      </c>
    </row>
    <row r="1542" spans="1:6" ht="12.75">
      <c r="A1542" s="373" t="s">
        <v>40</v>
      </c>
      <c r="B1542" s="374">
        <v>200</v>
      </c>
      <c r="C1542" s="372" t="s">
        <v>1795</v>
      </c>
      <c r="D1542" s="382">
        <v>600</v>
      </c>
      <c r="E1542" s="383">
        <v>600</v>
      </c>
      <c r="F1542" s="384">
        <v>0</v>
      </c>
    </row>
    <row r="1543" spans="1:6" ht="12.75">
      <c r="A1543" s="370" t="s">
        <v>632</v>
      </c>
      <c r="B1543" s="371">
        <v>200</v>
      </c>
      <c r="C1543" s="369" t="s">
        <v>1796</v>
      </c>
      <c r="D1543" s="385">
        <v>600</v>
      </c>
      <c r="E1543" s="380">
        <v>600</v>
      </c>
      <c r="F1543" s="386">
        <v>0</v>
      </c>
    </row>
    <row r="1544" spans="1:6" ht="12.75">
      <c r="A1544" s="373" t="s">
        <v>243</v>
      </c>
      <c r="B1544" s="374">
        <v>200</v>
      </c>
      <c r="C1544" s="372" t="s">
        <v>1940</v>
      </c>
      <c r="D1544" s="382">
        <v>4045557.99</v>
      </c>
      <c r="E1544" s="383">
        <v>3838681.39</v>
      </c>
      <c r="F1544" s="384">
        <v>206876.6</v>
      </c>
    </row>
    <row r="1545" spans="1:6" ht="33.75">
      <c r="A1545" s="373" t="s">
        <v>2092</v>
      </c>
      <c r="B1545" s="374">
        <v>200</v>
      </c>
      <c r="C1545" s="372" t="s">
        <v>2467</v>
      </c>
      <c r="D1545" s="382">
        <v>500472</v>
      </c>
      <c r="E1545" s="383">
        <v>293595.4</v>
      </c>
      <c r="F1545" s="384">
        <v>206876.6</v>
      </c>
    </row>
    <row r="1546" spans="1:6" ht="33.75">
      <c r="A1546" s="373" t="s">
        <v>36</v>
      </c>
      <c r="B1546" s="374">
        <v>200</v>
      </c>
      <c r="C1546" s="372" t="s">
        <v>2468</v>
      </c>
      <c r="D1546" s="382">
        <v>500472</v>
      </c>
      <c r="E1546" s="383">
        <v>293595.4</v>
      </c>
      <c r="F1546" s="384">
        <v>206876.6</v>
      </c>
    </row>
    <row r="1547" spans="1:6" ht="12.75">
      <c r="A1547" s="373" t="s">
        <v>41</v>
      </c>
      <c r="B1547" s="374">
        <v>200</v>
      </c>
      <c r="C1547" s="372" t="s">
        <v>2469</v>
      </c>
      <c r="D1547" s="382">
        <v>500472</v>
      </c>
      <c r="E1547" s="383">
        <v>293595.4</v>
      </c>
      <c r="F1547" s="384">
        <v>206876.6</v>
      </c>
    </row>
    <row r="1548" spans="1:6" ht="12.75">
      <c r="A1548" s="370" t="s">
        <v>412</v>
      </c>
      <c r="B1548" s="371">
        <v>200</v>
      </c>
      <c r="C1548" s="369" t="s">
        <v>2470</v>
      </c>
      <c r="D1548" s="385">
        <v>386584</v>
      </c>
      <c r="E1548" s="380">
        <v>233398.64</v>
      </c>
      <c r="F1548" s="386">
        <v>153185.36</v>
      </c>
    </row>
    <row r="1549" spans="1:6" ht="22.5">
      <c r="A1549" s="370" t="s">
        <v>414</v>
      </c>
      <c r="B1549" s="371">
        <v>200</v>
      </c>
      <c r="C1549" s="369" t="s">
        <v>2471</v>
      </c>
      <c r="D1549" s="385">
        <v>113888</v>
      </c>
      <c r="E1549" s="380">
        <v>60196.76</v>
      </c>
      <c r="F1549" s="386">
        <v>53691.24</v>
      </c>
    </row>
    <row r="1550" spans="1:6" ht="33.75">
      <c r="A1550" s="373" t="s">
        <v>2254</v>
      </c>
      <c r="B1550" s="374">
        <v>200</v>
      </c>
      <c r="C1550" s="372" t="s">
        <v>2336</v>
      </c>
      <c r="D1550" s="382">
        <v>1226244.99</v>
      </c>
      <c r="E1550" s="383">
        <v>1226244.99</v>
      </c>
      <c r="F1550" s="384">
        <v>0</v>
      </c>
    </row>
    <row r="1551" spans="1:6" ht="33.75">
      <c r="A1551" s="373" t="s">
        <v>36</v>
      </c>
      <c r="B1551" s="374">
        <v>200</v>
      </c>
      <c r="C1551" s="372" t="s">
        <v>2337</v>
      </c>
      <c r="D1551" s="382">
        <v>1226244.99</v>
      </c>
      <c r="E1551" s="383">
        <v>1226244.99</v>
      </c>
      <c r="F1551" s="384">
        <v>0</v>
      </c>
    </row>
    <row r="1552" spans="1:6" ht="12.75">
      <c r="A1552" s="373" t="s">
        <v>37</v>
      </c>
      <c r="B1552" s="374">
        <v>200</v>
      </c>
      <c r="C1552" s="372" t="s">
        <v>2338</v>
      </c>
      <c r="D1552" s="382">
        <v>1226244.99</v>
      </c>
      <c r="E1552" s="383">
        <v>1226244.99</v>
      </c>
      <c r="F1552" s="384">
        <v>0</v>
      </c>
    </row>
    <row r="1553" spans="1:6" ht="12.75">
      <c r="A1553" s="370" t="s">
        <v>1317</v>
      </c>
      <c r="B1553" s="371">
        <v>200</v>
      </c>
      <c r="C1553" s="369" t="s">
        <v>2339</v>
      </c>
      <c r="D1553" s="385">
        <v>982331</v>
      </c>
      <c r="E1553" s="380">
        <v>982331</v>
      </c>
      <c r="F1553" s="386">
        <v>0</v>
      </c>
    </row>
    <row r="1554" spans="1:6" ht="33.75">
      <c r="A1554" s="370" t="s">
        <v>1318</v>
      </c>
      <c r="B1554" s="371">
        <v>200</v>
      </c>
      <c r="C1554" s="369" t="s">
        <v>2340</v>
      </c>
      <c r="D1554" s="385">
        <v>243913.99</v>
      </c>
      <c r="E1554" s="380">
        <v>243913.99</v>
      </c>
      <c r="F1554" s="386">
        <v>0</v>
      </c>
    </row>
    <row r="1555" spans="1:6" ht="22.5">
      <c r="A1555" s="373" t="s">
        <v>1811</v>
      </c>
      <c r="B1555" s="374">
        <v>200</v>
      </c>
      <c r="C1555" s="372" t="s">
        <v>1941</v>
      </c>
      <c r="D1555" s="382">
        <v>2318841</v>
      </c>
      <c r="E1555" s="383">
        <v>2318841</v>
      </c>
      <c r="F1555" s="384">
        <v>0</v>
      </c>
    </row>
    <row r="1556" spans="1:6" ht="33.75">
      <c r="A1556" s="373" t="s">
        <v>36</v>
      </c>
      <c r="B1556" s="374">
        <v>200</v>
      </c>
      <c r="C1556" s="372" t="s">
        <v>1942</v>
      </c>
      <c r="D1556" s="382">
        <v>2318841</v>
      </c>
      <c r="E1556" s="383">
        <v>2318841</v>
      </c>
      <c r="F1556" s="384">
        <v>0</v>
      </c>
    </row>
    <row r="1557" spans="1:6" ht="12.75">
      <c r="A1557" s="373" t="s">
        <v>41</v>
      </c>
      <c r="B1557" s="374">
        <v>200</v>
      </c>
      <c r="C1557" s="372" t="s">
        <v>1943</v>
      </c>
      <c r="D1557" s="382">
        <v>1938326.59</v>
      </c>
      <c r="E1557" s="383">
        <v>1938326.59</v>
      </c>
      <c r="F1557" s="384">
        <v>0</v>
      </c>
    </row>
    <row r="1558" spans="1:6" ht="12.75">
      <c r="A1558" s="370" t="s">
        <v>412</v>
      </c>
      <c r="B1558" s="371">
        <v>200</v>
      </c>
      <c r="C1558" s="369" t="s">
        <v>1944</v>
      </c>
      <c r="D1558" s="385">
        <v>1488730.1</v>
      </c>
      <c r="E1558" s="380">
        <v>1488730.1</v>
      </c>
      <c r="F1558" s="386">
        <v>0</v>
      </c>
    </row>
    <row r="1559" spans="1:6" ht="22.5">
      <c r="A1559" s="370" t="s">
        <v>414</v>
      </c>
      <c r="B1559" s="371">
        <v>200</v>
      </c>
      <c r="C1559" s="369" t="s">
        <v>1945</v>
      </c>
      <c r="D1559" s="385">
        <v>449596.49</v>
      </c>
      <c r="E1559" s="380">
        <v>449596.49</v>
      </c>
      <c r="F1559" s="386">
        <v>0</v>
      </c>
    </row>
    <row r="1560" spans="1:6" ht="12.75">
      <c r="A1560" s="373" t="s">
        <v>37</v>
      </c>
      <c r="B1560" s="374">
        <v>200</v>
      </c>
      <c r="C1560" s="372" t="s">
        <v>1946</v>
      </c>
      <c r="D1560" s="382">
        <v>380514.41</v>
      </c>
      <c r="E1560" s="383">
        <v>380514.41</v>
      </c>
      <c r="F1560" s="384">
        <v>0</v>
      </c>
    </row>
    <row r="1561" spans="1:6" ht="12.75">
      <c r="A1561" s="370" t="s">
        <v>1317</v>
      </c>
      <c r="B1561" s="371">
        <v>200</v>
      </c>
      <c r="C1561" s="369" t="s">
        <v>1947</v>
      </c>
      <c r="D1561" s="385">
        <v>292254.9</v>
      </c>
      <c r="E1561" s="380">
        <v>292254.9</v>
      </c>
      <c r="F1561" s="386">
        <v>0</v>
      </c>
    </row>
    <row r="1562" spans="1:6" ht="33.75">
      <c r="A1562" s="370" t="s">
        <v>1318</v>
      </c>
      <c r="B1562" s="371">
        <v>200</v>
      </c>
      <c r="C1562" s="369" t="s">
        <v>1948</v>
      </c>
      <c r="D1562" s="385">
        <v>88259.51</v>
      </c>
      <c r="E1562" s="380">
        <v>88259.51</v>
      </c>
      <c r="F1562" s="386">
        <v>0</v>
      </c>
    </row>
    <row r="1563" spans="1:6" ht="12.75">
      <c r="A1563" s="373" t="s">
        <v>1051</v>
      </c>
      <c r="B1563" s="374">
        <v>200</v>
      </c>
      <c r="C1563" s="372" t="s">
        <v>1053</v>
      </c>
      <c r="D1563" s="382">
        <v>387800</v>
      </c>
      <c r="E1563" s="383">
        <v>387800</v>
      </c>
      <c r="F1563" s="384">
        <v>0</v>
      </c>
    </row>
    <row r="1564" spans="1:6" ht="12.75">
      <c r="A1564" s="373" t="s">
        <v>243</v>
      </c>
      <c r="B1564" s="374">
        <v>200</v>
      </c>
      <c r="C1564" s="372" t="s">
        <v>1054</v>
      </c>
      <c r="D1564" s="382">
        <v>387800</v>
      </c>
      <c r="E1564" s="383">
        <v>387800</v>
      </c>
      <c r="F1564" s="384">
        <v>0</v>
      </c>
    </row>
    <row r="1565" spans="1:6" ht="12.75">
      <c r="A1565" s="373" t="s">
        <v>1052</v>
      </c>
      <c r="B1565" s="374">
        <v>200</v>
      </c>
      <c r="C1565" s="372" t="s">
        <v>1055</v>
      </c>
      <c r="D1565" s="382">
        <v>387800</v>
      </c>
      <c r="E1565" s="383">
        <v>387800</v>
      </c>
      <c r="F1565" s="384">
        <v>0</v>
      </c>
    </row>
    <row r="1566" spans="1:6" ht="12.75">
      <c r="A1566" s="373" t="s">
        <v>42</v>
      </c>
      <c r="B1566" s="374">
        <v>200</v>
      </c>
      <c r="C1566" s="372" t="s">
        <v>1056</v>
      </c>
      <c r="D1566" s="382">
        <v>387800</v>
      </c>
      <c r="E1566" s="383">
        <v>387800</v>
      </c>
      <c r="F1566" s="384">
        <v>0</v>
      </c>
    </row>
    <row r="1567" spans="1:6" ht="12.75">
      <c r="A1567" s="370" t="s">
        <v>512</v>
      </c>
      <c r="B1567" s="371">
        <v>200</v>
      </c>
      <c r="C1567" s="369" t="s">
        <v>1057</v>
      </c>
      <c r="D1567" s="385">
        <v>387800</v>
      </c>
      <c r="E1567" s="380">
        <v>387800</v>
      </c>
      <c r="F1567" s="386">
        <v>0</v>
      </c>
    </row>
    <row r="1568" spans="1:6" ht="22.5">
      <c r="A1568" s="373" t="s">
        <v>203</v>
      </c>
      <c r="B1568" s="374">
        <v>200</v>
      </c>
      <c r="C1568" s="372" t="s">
        <v>204</v>
      </c>
      <c r="D1568" s="382">
        <v>1041135693.65</v>
      </c>
      <c r="E1568" s="383">
        <v>1034435349.65</v>
      </c>
      <c r="F1568" s="384">
        <v>6700344</v>
      </c>
    </row>
    <row r="1569" spans="1:6" ht="12.75">
      <c r="A1569" s="373" t="s">
        <v>94</v>
      </c>
      <c r="B1569" s="374">
        <v>200</v>
      </c>
      <c r="C1569" s="372" t="s">
        <v>205</v>
      </c>
      <c r="D1569" s="382">
        <v>50247658.82</v>
      </c>
      <c r="E1569" s="383">
        <v>44678578.15</v>
      </c>
      <c r="F1569" s="384">
        <v>5569080.67</v>
      </c>
    </row>
    <row r="1570" spans="1:6" ht="22.5">
      <c r="A1570" s="373" t="s">
        <v>427</v>
      </c>
      <c r="B1570" s="374">
        <v>200</v>
      </c>
      <c r="C1570" s="372" t="s">
        <v>206</v>
      </c>
      <c r="D1570" s="382">
        <v>45178728.58</v>
      </c>
      <c r="E1570" s="383">
        <v>44678578.15</v>
      </c>
      <c r="F1570" s="384">
        <v>500150.43</v>
      </c>
    </row>
    <row r="1571" spans="1:6" ht="12.75">
      <c r="A1571" s="373" t="s">
        <v>243</v>
      </c>
      <c r="B1571" s="374">
        <v>200</v>
      </c>
      <c r="C1571" s="372" t="s">
        <v>207</v>
      </c>
      <c r="D1571" s="382">
        <v>45178728.58</v>
      </c>
      <c r="E1571" s="383">
        <v>44678578.15</v>
      </c>
      <c r="F1571" s="384">
        <v>500150.43</v>
      </c>
    </row>
    <row r="1572" spans="1:6" ht="12.75">
      <c r="A1572" s="373" t="s">
        <v>1299</v>
      </c>
      <c r="B1572" s="374">
        <v>200</v>
      </c>
      <c r="C1572" s="372" t="s">
        <v>208</v>
      </c>
      <c r="D1572" s="382">
        <v>38008584.19</v>
      </c>
      <c r="E1572" s="383">
        <v>37508433.76</v>
      </c>
      <c r="F1572" s="384">
        <v>500150.43</v>
      </c>
    </row>
    <row r="1573" spans="1:6" ht="33.75">
      <c r="A1573" s="373" t="s">
        <v>36</v>
      </c>
      <c r="B1573" s="374">
        <v>200</v>
      </c>
      <c r="C1573" s="372" t="s">
        <v>209</v>
      </c>
      <c r="D1573" s="382">
        <v>30750499.16</v>
      </c>
      <c r="E1573" s="383">
        <v>30482954.54</v>
      </c>
      <c r="F1573" s="384">
        <v>267544.62</v>
      </c>
    </row>
    <row r="1574" spans="1:6" ht="12.75">
      <c r="A1574" s="373" t="s">
        <v>37</v>
      </c>
      <c r="B1574" s="374">
        <v>200</v>
      </c>
      <c r="C1574" s="372" t="s">
        <v>210</v>
      </c>
      <c r="D1574" s="382">
        <v>30750499.16</v>
      </c>
      <c r="E1574" s="383">
        <v>30482954.54</v>
      </c>
      <c r="F1574" s="384">
        <v>267544.62</v>
      </c>
    </row>
    <row r="1575" spans="1:6" ht="12.75">
      <c r="A1575" s="370" t="s">
        <v>1317</v>
      </c>
      <c r="B1575" s="371">
        <v>200</v>
      </c>
      <c r="C1575" s="369" t="s">
        <v>211</v>
      </c>
      <c r="D1575" s="385">
        <v>21895164.48</v>
      </c>
      <c r="E1575" s="380">
        <v>21865365.8</v>
      </c>
      <c r="F1575" s="386">
        <v>29798.68</v>
      </c>
    </row>
    <row r="1576" spans="1:6" ht="22.5">
      <c r="A1576" s="370" t="s">
        <v>244</v>
      </c>
      <c r="B1576" s="371">
        <v>200</v>
      </c>
      <c r="C1576" s="369" t="s">
        <v>212</v>
      </c>
      <c r="D1576" s="385">
        <v>2312220.59</v>
      </c>
      <c r="E1576" s="380">
        <v>2224703.64</v>
      </c>
      <c r="F1576" s="386">
        <v>87516.95</v>
      </c>
    </row>
    <row r="1577" spans="1:6" ht="33.75">
      <c r="A1577" s="370" t="s">
        <v>1318</v>
      </c>
      <c r="B1577" s="371">
        <v>200</v>
      </c>
      <c r="C1577" s="369" t="s">
        <v>213</v>
      </c>
      <c r="D1577" s="385">
        <v>6543114.09</v>
      </c>
      <c r="E1577" s="380">
        <v>6392885.1</v>
      </c>
      <c r="F1577" s="386">
        <v>150228.99</v>
      </c>
    </row>
    <row r="1578" spans="1:6" ht="22.5">
      <c r="A1578" s="373" t="s">
        <v>411</v>
      </c>
      <c r="B1578" s="374">
        <v>200</v>
      </c>
      <c r="C1578" s="372" t="s">
        <v>214</v>
      </c>
      <c r="D1578" s="382">
        <v>6491507.68</v>
      </c>
      <c r="E1578" s="383">
        <v>6258901.87</v>
      </c>
      <c r="F1578" s="384">
        <v>232605.81</v>
      </c>
    </row>
    <row r="1579" spans="1:6" ht="22.5">
      <c r="A1579" s="373" t="s">
        <v>38</v>
      </c>
      <c r="B1579" s="374">
        <v>200</v>
      </c>
      <c r="C1579" s="372" t="s">
        <v>215</v>
      </c>
      <c r="D1579" s="382">
        <v>6491507.68</v>
      </c>
      <c r="E1579" s="383">
        <v>6258901.87</v>
      </c>
      <c r="F1579" s="384">
        <v>232605.81</v>
      </c>
    </row>
    <row r="1580" spans="1:6" ht="12.75">
      <c r="A1580" s="370" t="s">
        <v>1658</v>
      </c>
      <c r="B1580" s="371">
        <v>200</v>
      </c>
      <c r="C1580" s="369" t="s">
        <v>216</v>
      </c>
      <c r="D1580" s="385">
        <v>6491507.68</v>
      </c>
      <c r="E1580" s="380">
        <v>6258901.87</v>
      </c>
      <c r="F1580" s="386">
        <v>232605.81</v>
      </c>
    </row>
    <row r="1581" spans="1:6" ht="12.75">
      <c r="A1581" s="373" t="s">
        <v>43</v>
      </c>
      <c r="B1581" s="374">
        <v>200</v>
      </c>
      <c r="C1581" s="372" t="s">
        <v>2065</v>
      </c>
      <c r="D1581" s="382">
        <v>766577.35</v>
      </c>
      <c r="E1581" s="383">
        <v>766577.35</v>
      </c>
      <c r="F1581" s="384">
        <v>0</v>
      </c>
    </row>
    <row r="1582" spans="1:6" ht="22.5">
      <c r="A1582" s="373" t="s">
        <v>44</v>
      </c>
      <c r="B1582" s="374">
        <v>200</v>
      </c>
      <c r="C1582" s="372" t="s">
        <v>2066</v>
      </c>
      <c r="D1582" s="382">
        <v>766577.35</v>
      </c>
      <c r="E1582" s="383">
        <v>766577.35</v>
      </c>
      <c r="F1582" s="384">
        <v>0</v>
      </c>
    </row>
    <row r="1583" spans="1:6" ht="22.5">
      <c r="A1583" s="370" t="s">
        <v>1075</v>
      </c>
      <c r="B1583" s="371">
        <v>200</v>
      </c>
      <c r="C1583" s="369" t="s">
        <v>2067</v>
      </c>
      <c r="D1583" s="385">
        <v>766577.35</v>
      </c>
      <c r="E1583" s="380">
        <v>766577.35</v>
      </c>
      <c r="F1583" s="386">
        <v>0</v>
      </c>
    </row>
    <row r="1584" spans="1:6" ht="45">
      <c r="A1584" s="377" t="s">
        <v>1593</v>
      </c>
      <c r="B1584" s="374">
        <v>200</v>
      </c>
      <c r="C1584" s="372" t="s">
        <v>217</v>
      </c>
      <c r="D1584" s="382">
        <v>3700008.48</v>
      </c>
      <c r="E1584" s="383">
        <v>3700008.48</v>
      </c>
      <c r="F1584" s="384">
        <v>0</v>
      </c>
    </row>
    <row r="1585" spans="1:6" ht="33.75">
      <c r="A1585" s="373" t="s">
        <v>36</v>
      </c>
      <c r="B1585" s="374">
        <v>200</v>
      </c>
      <c r="C1585" s="372" t="s">
        <v>218</v>
      </c>
      <c r="D1585" s="382">
        <v>3700008.48</v>
      </c>
      <c r="E1585" s="383">
        <v>3700008.48</v>
      </c>
      <c r="F1585" s="384">
        <v>0</v>
      </c>
    </row>
    <row r="1586" spans="1:6" ht="12.75">
      <c r="A1586" s="373" t="s">
        <v>37</v>
      </c>
      <c r="B1586" s="374">
        <v>200</v>
      </c>
      <c r="C1586" s="372" t="s">
        <v>219</v>
      </c>
      <c r="D1586" s="382">
        <v>3700008.48</v>
      </c>
      <c r="E1586" s="383">
        <v>3700008.48</v>
      </c>
      <c r="F1586" s="384">
        <v>0</v>
      </c>
    </row>
    <row r="1587" spans="1:6" ht="12.75">
      <c r="A1587" s="370" t="s">
        <v>1317</v>
      </c>
      <c r="B1587" s="371">
        <v>200</v>
      </c>
      <c r="C1587" s="369" t="s">
        <v>220</v>
      </c>
      <c r="D1587" s="385">
        <v>2893370</v>
      </c>
      <c r="E1587" s="380">
        <v>2893370</v>
      </c>
      <c r="F1587" s="386">
        <v>0</v>
      </c>
    </row>
    <row r="1588" spans="1:6" ht="33.75">
      <c r="A1588" s="370" t="s">
        <v>1318</v>
      </c>
      <c r="B1588" s="371">
        <v>200</v>
      </c>
      <c r="C1588" s="369" t="s">
        <v>221</v>
      </c>
      <c r="D1588" s="385">
        <v>806638.48</v>
      </c>
      <c r="E1588" s="380">
        <v>806638.48</v>
      </c>
      <c r="F1588" s="386">
        <v>0</v>
      </c>
    </row>
    <row r="1589" spans="1:6" ht="33.75">
      <c r="A1589" s="373" t="s">
        <v>2254</v>
      </c>
      <c r="B1589" s="374">
        <v>200</v>
      </c>
      <c r="C1589" s="372" t="s">
        <v>2341</v>
      </c>
      <c r="D1589" s="382">
        <v>2056655.91</v>
      </c>
      <c r="E1589" s="383">
        <v>2056655.91</v>
      </c>
      <c r="F1589" s="384">
        <v>0</v>
      </c>
    </row>
    <row r="1590" spans="1:6" ht="33.75">
      <c r="A1590" s="373" t="s">
        <v>36</v>
      </c>
      <c r="B1590" s="374">
        <v>200</v>
      </c>
      <c r="C1590" s="372" t="s">
        <v>2342</v>
      </c>
      <c r="D1590" s="382">
        <v>2056655.91</v>
      </c>
      <c r="E1590" s="383">
        <v>2056655.91</v>
      </c>
      <c r="F1590" s="384">
        <v>0</v>
      </c>
    </row>
    <row r="1591" spans="1:6" ht="12.75">
      <c r="A1591" s="373" t="s">
        <v>37</v>
      </c>
      <c r="B1591" s="374">
        <v>200</v>
      </c>
      <c r="C1591" s="372" t="s">
        <v>2343</v>
      </c>
      <c r="D1591" s="382">
        <v>2056655.91</v>
      </c>
      <c r="E1591" s="383">
        <v>2056655.91</v>
      </c>
      <c r="F1591" s="384">
        <v>0</v>
      </c>
    </row>
    <row r="1592" spans="1:6" ht="12.75">
      <c r="A1592" s="370" t="s">
        <v>1317</v>
      </c>
      <c r="B1592" s="371">
        <v>200</v>
      </c>
      <c r="C1592" s="369" t="s">
        <v>2344</v>
      </c>
      <c r="D1592" s="385">
        <v>1614573.62</v>
      </c>
      <c r="E1592" s="380">
        <v>1614573.62</v>
      </c>
      <c r="F1592" s="386">
        <v>0</v>
      </c>
    </row>
    <row r="1593" spans="1:6" ht="33.75">
      <c r="A1593" s="370" t="s">
        <v>1318</v>
      </c>
      <c r="B1593" s="371">
        <v>200</v>
      </c>
      <c r="C1593" s="369" t="s">
        <v>2345</v>
      </c>
      <c r="D1593" s="385">
        <v>442082.29</v>
      </c>
      <c r="E1593" s="380">
        <v>442082.29</v>
      </c>
      <c r="F1593" s="386">
        <v>0</v>
      </c>
    </row>
    <row r="1594" spans="1:6" ht="22.5">
      <c r="A1594" s="373" t="s">
        <v>1811</v>
      </c>
      <c r="B1594" s="374">
        <v>200</v>
      </c>
      <c r="C1594" s="372" t="s">
        <v>1949</v>
      </c>
      <c r="D1594" s="382">
        <v>1196110</v>
      </c>
      <c r="E1594" s="383">
        <v>1196110</v>
      </c>
      <c r="F1594" s="384">
        <v>0</v>
      </c>
    </row>
    <row r="1595" spans="1:6" ht="33.75">
      <c r="A1595" s="373" t="s">
        <v>36</v>
      </c>
      <c r="B1595" s="374">
        <v>200</v>
      </c>
      <c r="C1595" s="372" t="s">
        <v>1950</v>
      </c>
      <c r="D1595" s="382">
        <v>1196110</v>
      </c>
      <c r="E1595" s="383">
        <v>1196110</v>
      </c>
      <c r="F1595" s="384">
        <v>0</v>
      </c>
    </row>
    <row r="1596" spans="1:6" ht="12.75">
      <c r="A1596" s="373" t="s">
        <v>37</v>
      </c>
      <c r="B1596" s="374">
        <v>200</v>
      </c>
      <c r="C1596" s="372" t="s">
        <v>1951</v>
      </c>
      <c r="D1596" s="382">
        <v>1196110</v>
      </c>
      <c r="E1596" s="383">
        <v>1196110</v>
      </c>
      <c r="F1596" s="384">
        <v>0</v>
      </c>
    </row>
    <row r="1597" spans="1:6" ht="12.75">
      <c r="A1597" s="370" t="s">
        <v>1317</v>
      </c>
      <c r="B1597" s="371">
        <v>200</v>
      </c>
      <c r="C1597" s="369" t="s">
        <v>1952</v>
      </c>
      <c r="D1597" s="385">
        <v>918672</v>
      </c>
      <c r="E1597" s="380">
        <v>918672</v>
      </c>
      <c r="F1597" s="386">
        <v>0</v>
      </c>
    </row>
    <row r="1598" spans="1:6" ht="33.75">
      <c r="A1598" s="370" t="s">
        <v>1318</v>
      </c>
      <c r="B1598" s="371">
        <v>200</v>
      </c>
      <c r="C1598" s="369" t="s">
        <v>1953</v>
      </c>
      <c r="D1598" s="385">
        <v>277438</v>
      </c>
      <c r="E1598" s="380">
        <v>277438</v>
      </c>
      <c r="F1598" s="386">
        <v>0</v>
      </c>
    </row>
    <row r="1599" spans="1:6" ht="22.5">
      <c r="A1599" s="373" t="s">
        <v>2326</v>
      </c>
      <c r="B1599" s="374">
        <v>200</v>
      </c>
      <c r="C1599" s="372" t="s">
        <v>2346</v>
      </c>
      <c r="D1599" s="382">
        <v>217370</v>
      </c>
      <c r="E1599" s="383">
        <v>217370</v>
      </c>
      <c r="F1599" s="384">
        <v>0</v>
      </c>
    </row>
    <row r="1600" spans="1:6" ht="33.75">
      <c r="A1600" s="373" t="s">
        <v>36</v>
      </c>
      <c r="B1600" s="374">
        <v>200</v>
      </c>
      <c r="C1600" s="372" t="s">
        <v>2347</v>
      </c>
      <c r="D1600" s="382">
        <v>217370</v>
      </c>
      <c r="E1600" s="383">
        <v>217370</v>
      </c>
      <c r="F1600" s="384">
        <v>0</v>
      </c>
    </row>
    <row r="1601" spans="1:6" ht="12.75">
      <c r="A1601" s="373" t="s">
        <v>37</v>
      </c>
      <c r="B1601" s="374">
        <v>200</v>
      </c>
      <c r="C1601" s="372" t="s">
        <v>2348</v>
      </c>
      <c r="D1601" s="382">
        <v>217370</v>
      </c>
      <c r="E1601" s="383">
        <v>217370</v>
      </c>
      <c r="F1601" s="384">
        <v>0</v>
      </c>
    </row>
    <row r="1602" spans="1:6" ht="12.75">
      <c r="A1602" s="370" t="s">
        <v>1317</v>
      </c>
      <c r="B1602" s="371">
        <v>200</v>
      </c>
      <c r="C1602" s="369" t="s">
        <v>2349</v>
      </c>
      <c r="D1602" s="385">
        <v>166950.85</v>
      </c>
      <c r="E1602" s="380">
        <v>166950.85</v>
      </c>
      <c r="F1602" s="386">
        <v>0</v>
      </c>
    </row>
    <row r="1603" spans="1:6" ht="33.75">
      <c r="A1603" s="370" t="s">
        <v>1318</v>
      </c>
      <c r="B1603" s="371">
        <v>200</v>
      </c>
      <c r="C1603" s="369" t="s">
        <v>2350</v>
      </c>
      <c r="D1603" s="385">
        <v>50419.15</v>
      </c>
      <c r="E1603" s="380">
        <v>50419.15</v>
      </c>
      <c r="F1603" s="386">
        <v>0</v>
      </c>
    </row>
    <row r="1604" spans="1:6" ht="12.75">
      <c r="A1604" s="373" t="s">
        <v>61</v>
      </c>
      <c r="B1604" s="374">
        <v>200</v>
      </c>
      <c r="C1604" s="372" t="s">
        <v>222</v>
      </c>
      <c r="D1604" s="382">
        <v>5068930.24</v>
      </c>
      <c r="E1604" s="383">
        <v>0</v>
      </c>
      <c r="F1604" s="384">
        <v>5068930.24</v>
      </c>
    </row>
    <row r="1605" spans="1:6" ht="12.75">
      <c r="A1605" s="373" t="s">
        <v>243</v>
      </c>
      <c r="B1605" s="374">
        <v>200</v>
      </c>
      <c r="C1605" s="372" t="s">
        <v>223</v>
      </c>
      <c r="D1605" s="382">
        <v>5068930.24</v>
      </c>
      <c r="E1605" s="383">
        <v>0</v>
      </c>
      <c r="F1605" s="384">
        <v>5068930.24</v>
      </c>
    </row>
    <row r="1606" spans="1:6" ht="12.75">
      <c r="A1606" s="373" t="s">
        <v>62</v>
      </c>
      <c r="B1606" s="374">
        <v>200</v>
      </c>
      <c r="C1606" s="372" t="s">
        <v>224</v>
      </c>
      <c r="D1606" s="382">
        <v>5068930.24</v>
      </c>
      <c r="E1606" s="383">
        <v>0</v>
      </c>
      <c r="F1606" s="384">
        <v>5068930.24</v>
      </c>
    </row>
    <row r="1607" spans="1:6" ht="12.75">
      <c r="A1607" s="373" t="s">
        <v>39</v>
      </c>
      <c r="B1607" s="374">
        <v>200</v>
      </c>
      <c r="C1607" s="372" t="s">
        <v>225</v>
      </c>
      <c r="D1607" s="382">
        <v>5068930.24</v>
      </c>
      <c r="E1607" s="383">
        <v>0</v>
      </c>
      <c r="F1607" s="384">
        <v>5068930.24</v>
      </c>
    </row>
    <row r="1608" spans="1:6" ht="12.75">
      <c r="A1608" s="370" t="s">
        <v>497</v>
      </c>
      <c r="B1608" s="371">
        <v>200</v>
      </c>
      <c r="C1608" s="369" t="s">
        <v>226</v>
      </c>
      <c r="D1608" s="385">
        <v>5068930.24</v>
      </c>
      <c r="E1608" s="380">
        <v>0</v>
      </c>
      <c r="F1608" s="386">
        <v>5068930.24</v>
      </c>
    </row>
    <row r="1609" spans="1:6" ht="12.75">
      <c r="A1609" s="373" t="s">
        <v>1253</v>
      </c>
      <c r="B1609" s="374">
        <v>200</v>
      </c>
      <c r="C1609" s="372" t="s">
        <v>1254</v>
      </c>
      <c r="D1609" s="382">
        <v>50000</v>
      </c>
      <c r="E1609" s="383">
        <v>27698.63</v>
      </c>
      <c r="F1609" s="384">
        <v>22301.37</v>
      </c>
    </row>
    <row r="1610" spans="1:6" ht="12.75">
      <c r="A1610" s="373" t="s">
        <v>1255</v>
      </c>
      <c r="B1610" s="374">
        <v>200</v>
      </c>
      <c r="C1610" s="372" t="s">
        <v>1256</v>
      </c>
      <c r="D1610" s="382">
        <v>50000</v>
      </c>
      <c r="E1610" s="383">
        <v>27698.63</v>
      </c>
      <c r="F1610" s="384">
        <v>22301.37</v>
      </c>
    </row>
    <row r="1611" spans="1:6" ht="12.75">
      <c r="A1611" s="373" t="s">
        <v>243</v>
      </c>
      <c r="B1611" s="374">
        <v>200</v>
      </c>
      <c r="C1611" s="372" t="s">
        <v>1257</v>
      </c>
      <c r="D1611" s="382">
        <v>50000</v>
      </c>
      <c r="E1611" s="383">
        <v>27698.63</v>
      </c>
      <c r="F1611" s="384">
        <v>22301.37</v>
      </c>
    </row>
    <row r="1612" spans="1:6" ht="12.75">
      <c r="A1612" s="373" t="s">
        <v>1258</v>
      </c>
      <c r="B1612" s="374">
        <v>200</v>
      </c>
      <c r="C1612" s="372" t="s">
        <v>1259</v>
      </c>
      <c r="D1612" s="382">
        <v>50000</v>
      </c>
      <c r="E1612" s="383">
        <v>27698.63</v>
      </c>
      <c r="F1612" s="384">
        <v>22301.37</v>
      </c>
    </row>
    <row r="1613" spans="1:6" ht="12.75">
      <c r="A1613" s="373" t="s">
        <v>1260</v>
      </c>
      <c r="B1613" s="374">
        <v>200</v>
      </c>
      <c r="C1613" s="372" t="s">
        <v>1261</v>
      </c>
      <c r="D1613" s="382">
        <v>50000</v>
      </c>
      <c r="E1613" s="383">
        <v>27698.63</v>
      </c>
      <c r="F1613" s="384">
        <v>22301.37</v>
      </c>
    </row>
    <row r="1614" spans="1:6" ht="12.75">
      <c r="A1614" s="370" t="s">
        <v>1262</v>
      </c>
      <c r="B1614" s="371">
        <v>200</v>
      </c>
      <c r="C1614" s="369" t="s">
        <v>1263</v>
      </c>
      <c r="D1614" s="385">
        <v>50000</v>
      </c>
      <c r="E1614" s="380">
        <v>27698.63</v>
      </c>
      <c r="F1614" s="386">
        <v>22301.37</v>
      </c>
    </row>
    <row r="1615" spans="1:6" ht="22.5">
      <c r="A1615" s="373" t="s">
        <v>631</v>
      </c>
      <c r="B1615" s="374">
        <v>200</v>
      </c>
      <c r="C1615" s="372" t="s">
        <v>227</v>
      </c>
      <c r="D1615" s="382">
        <v>990838034.83</v>
      </c>
      <c r="E1615" s="383">
        <v>989729072.87</v>
      </c>
      <c r="F1615" s="384">
        <v>1108961.96</v>
      </c>
    </row>
    <row r="1616" spans="1:6" ht="22.5">
      <c r="A1616" s="373" t="s">
        <v>63</v>
      </c>
      <c r="B1616" s="374">
        <v>200</v>
      </c>
      <c r="C1616" s="372" t="s">
        <v>228</v>
      </c>
      <c r="D1616" s="382">
        <v>48792000</v>
      </c>
      <c r="E1616" s="383">
        <v>48792000</v>
      </c>
      <c r="F1616" s="384">
        <v>0</v>
      </c>
    </row>
    <row r="1617" spans="1:6" ht="12.75">
      <c r="A1617" s="373" t="s">
        <v>243</v>
      </c>
      <c r="B1617" s="374">
        <v>200</v>
      </c>
      <c r="C1617" s="372" t="s">
        <v>229</v>
      </c>
      <c r="D1617" s="382">
        <v>48792000</v>
      </c>
      <c r="E1617" s="383">
        <v>48792000</v>
      </c>
      <c r="F1617" s="384">
        <v>0</v>
      </c>
    </row>
    <row r="1618" spans="1:6" ht="33.75">
      <c r="A1618" s="373" t="s">
        <v>1797</v>
      </c>
      <c r="B1618" s="374">
        <v>200</v>
      </c>
      <c r="C1618" s="372" t="s">
        <v>230</v>
      </c>
      <c r="D1618" s="382">
        <v>48792000</v>
      </c>
      <c r="E1618" s="383">
        <v>48792000</v>
      </c>
      <c r="F1618" s="384">
        <v>0</v>
      </c>
    </row>
    <row r="1619" spans="1:6" ht="12.75">
      <c r="A1619" s="373" t="s">
        <v>42</v>
      </c>
      <c r="B1619" s="374">
        <v>200</v>
      </c>
      <c r="C1619" s="372" t="s">
        <v>231</v>
      </c>
      <c r="D1619" s="382">
        <v>48792000</v>
      </c>
      <c r="E1619" s="383">
        <v>48792000</v>
      </c>
      <c r="F1619" s="384">
        <v>0</v>
      </c>
    </row>
    <row r="1620" spans="1:6" ht="12.75">
      <c r="A1620" s="373" t="s">
        <v>49</v>
      </c>
      <c r="B1620" s="374">
        <v>200</v>
      </c>
      <c r="C1620" s="372" t="s">
        <v>232</v>
      </c>
      <c r="D1620" s="382">
        <v>48792000</v>
      </c>
      <c r="E1620" s="383">
        <v>48792000</v>
      </c>
      <c r="F1620" s="384">
        <v>0</v>
      </c>
    </row>
    <row r="1621" spans="1:6" ht="12.75">
      <c r="A1621" s="370" t="s">
        <v>752</v>
      </c>
      <c r="B1621" s="371">
        <v>200</v>
      </c>
      <c r="C1621" s="369" t="s">
        <v>233</v>
      </c>
      <c r="D1621" s="385">
        <v>48792000</v>
      </c>
      <c r="E1621" s="380">
        <v>48792000</v>
      </c>
      <c r="F1621" s="386">
        <v>0</v>
      </c>
    </row>
    <row r="1622" spans="1:6" ht="12.75">
      <c r="A1622" s="373" t="s">
        <v>58</v>
      </c>
      <c r="B1622" s="374">
        <v>200</v>
      </c>
      <c r="C1622" s="372" t="s">
        <v>234</v>
      </c>
      <c r="D1622" s="382">
        <v>942046034.83</v>
      </c>
      <c r="E1622" s="383">
        <v>940937072.87</v>
      </c>
      <c r="F1622" s="384">
        <v>1108961.96</v>
      </c>
    </row>
    <row r="1623" spans="1:6" ht="12.75">
      <c r="A1623" s="373" t="s">
        <v>243</v>
      </c>
      <c r="B1623" s="374">
        <v>200</v>
      </c>
      <c r="C1623" s="372" t="s">
        <v>235</v>
      </c>
      <c r="D1623" s="382">
        <v>942046034.83</v>
      </c>
      <c r="E1623" s="383">
        <v>940937072.87</v>
      </c>
      <c r="F1623" s="384">
        <v>1108961.96</v>
      </c>
    </row>
    <row r="1624" spans="1:6" ht="33.75">
      <c r="A1624" s="373" t="s">
        <v>1377</v>
      </c>
      <c r="B1624" s="374">
        <v>200</v>
      </c>
      <c r="C1624" s="372" t="s">
        <v>236</v>
      </c>
      <c r="D1624" s="382">
        <v>890975335.54</v>
      </c>
      <c r="E1624" s="383">
        <v>890975335.54</v>
      </c>
      <c r="F1624" s="384">
        <v>0</v>
      </c>
    </row>
    <row r="1625" spans="1:6" ht="12.75">
      <c r="A1625" s="373" t="s">
        <v>42</v>
      </c>
      <c r="B1625" s="374">
        <v>200</v>
      </c>
      <c r="C1625" s="372" t="s">
        <v>237</v>
      </c>
      <c r="D1625" s="382">
        <v>890975335.54</v>
      </c>
      <c r="E1625" s="383">
        <v>890975335.54</v>
      </c>
      <c r="F1625" s="384">
        <v>0</v>
      </c>
    </row>
    <row r="1626" spans="1:6" ht="12.75">
      <c r="A1626" s="370" t="s">
        <v>512</v>
      </c>
      <c r="B1626" s="371">
        <v>200</v>
      </c>
      <c r="C1626" s="369" t="s">
        <v>238</v>
      </c>
      <c r="D1626" s="385">
        <v>890975335.54</v>
      </c>
      <c r="E1626" s="380">
        <v>890975335.54</v>
      </c>
      <c r="F1626" s="386">
        <v>0</v>
      </c>
    </row>
    <row r="1627" spans="1:6" ht="33.75">
      <c r="A1627" s="373" t="s">
        <v>2092</v>
      </c>
      <c r="B1627" s="374">
        <v>200</v>
      </c>
      <c r="C1627" s="372" t="s">
        <v>2148</v>
      </c>
      <c r="D1627" s="382">
        <v>5710849</v>
      </c>
      <c r="E1627" s="383">
        <v>5410700.69</v>
      </c>
      <c r="F1627" s="384">
        <v>300148.31</v>
      </c>
    </row>
    <row r="1628" spans="1:6" ht="12.75">
      <c r="A1628" s="373" t="s">
        <v>42</v>
      </c>
      <c r="B1628" s="374">
        <v>200</v>
      </c>
      <c r="C1628" s="372" t="s">
        <v>2149</v>
      </c>
      <c r="D1628" s="382">
        <v>5710849</v>
      </c>
      <c r="E1628" s="383">
        <v>5410700.69</v>
      </c>
      <c r="F1628" s="384">
        <v>300148.31</v>
      </c>
    </row>
    <row r="1629" spans="1:6" ht="12.75">
      <c r="A1629" s="370" t="s">
        <v>512</v>
      </c>
      <c r="B1629" s="371">
        <v>200</v>
      </c>
      <c r="C1629" s="369" t="s">
        <v>2150</v>
      </c>
      <c r="D1629" s="385">
        <v>5710849</v>
      </c>
      <c r="E1629" s="380">
        <v>5410700.69</v>
      </c>
      <c r="F1629" s="386">
        <v>300148.31</v>
      </c>
    </row>
    <row r="1630" spans="1:6" ht="33.75">
      <c r="A1630" s="373" t="s">
        <v>2254</v>
      </c>
      <c r="B1630" s="374">
        <v>200</v>
      </c>
      <c r="C1630" s="372" t="s">
        <v>2351</v>
      </c>
      <c r="D1630" s="382">
        <v>15567903.29</v>
      </c>
      <c r="E1630" s="383">
        <v>14788154.39</v>
      </c>
      <c r="F1630" s="384">
        <v>779748.9</v>
      </c>
    </row>
    <row r="1631" spans="1:6" ht="12.75">
      <c r="A1631" s="373" t="s">
        <v>42</v>
      </c>
      <c r="B1631" s="374">
        <v>200</v>
      </c>
      <c r="C1631" s="372" t="s">
        <v>2352</v>
      </c>
      <c r="D1631" s="382">
        <v>15567903.29</v>
      </c>
      <c r="E1631" s="383">
        <v>14788154.39</v>
      </c>
      <c r="F1631" s="384">
        <v>779748.9</v>
      </c>
    </row>
    <row r="1632" spans="1:6" ht="12.75">
      <c r="A1632" s="370" t="s">
        <v>512</v>
      </c>
      <c r="B1632" s="371">
        <v>200</v>
      </c>
      <c r="C1632" s="369" t="s">
        <v>2353</v>
      </c>
      <c r="D1632" s="385">
        <v>15567903.29</v>
      </c>
      <c r="E1632" s="380">
        <v>14788154.39</v>
      </c>
      <c r="F1632" s="386">
        <v>779748.9</v>
      </c>
    </row>
    <row r="1633" spans="1:6" ht="22.5">
      <c r="A1633" s="373" t="s">
        <v>1811</v>
      </c>
      <c r="B1633" s="374">
        <v>200</v>
      </c>
      <c r="C1633" s="372" t="s">
        <v>1954</v>
      </c>
      <c r="D1633" s="382">
        <v>29791947</v>
      </c>
      <c r="E1633" s="383">
        <v>29762882.25</v>
      </c>
      <c r="F1633" s="384">
        <v>29064.75</v>
      </c>
    </row>
    <row r="1634" spans="1:6" ht="12.75">
      <c r="A1634" s="373" t="s">
        <v>42</v>
      </c>
      <c r="B1634" s="374">
        <v>200</v>
      </c>
      <c r="C1634" s="372" t="s">
        <v>1955</v>
      </c>
      <c r="D1634" s="382">
        <v>29791947</v>
      </c>
      <c r="E1634" s="383">
        <v>29762882.25</v>
      </c>
      <c r="F1634" s="384">
        <v>29064.75</v>
      </c>
    </row>
    <row r="1635" spans="1:6" ht="12.75">
      <c r="A1635" s="370" t="s">
        <v>512</v>
      </c>
      <c r="B1635" s="371">
        <v>200</v>
      </c>
      <c r="C1635" s="369" t="s">
        <v>1956</v>
      </c>
      <c r="D1635" s="385">
        <v>29791947</v>
      </c>
      <c r="E1635" s="380">
        <v>29762882.25</v>
      </c>
      <c r="F1635" s="386">
        <v>29064.75</v>
      </c>
    </row>
    <row r="1636" spans="1:6" ht="12.75">
      <c r="A1636" s="367" t="s">
        <v>417</v>
      </c>
      <c r="B1636" s="368">
        <v>450</v>
      </c>
      <c r="C1636" s="366" t="s">
        <v>254</v>
      </c>
      <c r="D1636" s="365">
        <v>-95345580.63</v>
      </c>
      <c r="E1636" s="364">
        <v>121084904.27</v>
      </c>
      <c r="F1636" s="366" t="s">
        <v>254</v>
      </c>
    </row>
    <row r="1637" spans="1:6" ht="22.5" hidden="1">
      <c r="A1637" s="320" t="s">
        <v>1811</v>
      </c>
      <c r="B1637" s="321">
        <v>200</v>
      </c>
      <c r="C1637" s="319" t="s">
        <v>1954</v>
      </c>
      <c r="D1637" s="318">
        <v>29791947</v>
      </c>
      <c r="E1637" s="317">
        <v>26756685</v>
      </c>
      <c r="F1637" s="316">
        <v>3035262</v>
      </c>
    </row>
    <row r="1638" spans="1:6" ht="12.75" hidden="1">
      <c r="A1638" s="320" t="s">
        <v>42</v>
      </c>
      <c r="B1638" s="321">
        <v>200</v>
      </c>
      <c r="C1638" s="319" t="s">
        <v>1955</v>
      </c>
      <c r="D1638" s="318">
        <v>29791947</v>
      </c>
      <c r="E1638" s="317">
        <v>26756685</v>
      </c>
      <c r="F1638" s="316">
        <v>3035262</v>
      </c>
    </row>
    <row r="1639" spans="1:6" ht="12.75" hidden="1">
      <c r="A1639" s="314" t="s">
        <v>512</v>
      </c>
      <c r="B1639" s="315">
        <v>200</v>
      </c>
      <c r="C1639" s="313" t="s">
        <v>1956</v>
      </c>
      <c r="D1639" s="312">
        <v>29791947</v>
      </c>
      <c r="E1639" s="306">
        <v>26756685</v>
      </c>
      <c r="F1639" s="311">
        <v>3035262</v>
      </c>
    </row>
    <row r="1640" spans="1:6" ht="12.75" hidden="1">
      <c r="A1640" s="309" t="s">
        <v>417</v>
      </c>
      <c r="B1640" s="310">
        <v>450</v>
      </c>
      <c r="C1640" s="307" t="s">
        <v>254</v>
      </c>
      <c r="D1640" s="308">
        <v>-95345580.63</v>
      </c>
      <c r="E1640" s="305">
        <v>485660097.48</v>
      </c>
      <c r="F1640" s="307" t="s">
        <v>254</v>
      </c>
    </row>
  </sheetData>
  <sheetProtection/>
  <autoFilter ref="A5:G1451"/>
  <printOptions horizontalCentered="1"/>
  <pageMargins left="0.7874015748031497" right="0.3937007874015748" top="0.1968503937007874" bottom="0.3937007874015748" header="0.5118110236220472" footer="0.5118110236220472"/>
  <pageSetup blackAndWhite="1" fitToHeight="0" fitToWidth="1" horizontalDpi="600" verticalDpi="600" orientation="portrait" paperSize="9" scale="66" r:id="rId1"/>
  <colBreaks count="2" manualBreakCount="2">
    <brk id="4" max="1639" man="1"/>
    <brk id="5" max="1639" man="1"/>
  </colBreaks>
</worksheet>
</file>

<file path=xl/worksheets/sheet3.xml><?xml version="1.0" encoding="utf-8"?>
<worksheet xmlns="http://schemas.openxmlformats.org/spreadsheetml/2006/main" xmlns:r="http://schemas.openxmlformats.org/officeDocument/2006/relationships">
  <sheetPr>
    <pageSetUpPr fitToPage="1"/>
  </sheetPr>
  <dimension ref="A2:AF71"/>
  <sheetViews>
    <sheetView tabSelected="1" view="pageBreakPreview" zoomScaleSheetLayoutView="100" zoomScalePageLayoutView="0" workbookViewId="0" topLeftCell="A10">
      <selection activeCell="L57" sqref="L57"/>
    </sheetView>
  </sheetViews>
  <sheetFormatPr defaultColWidth="9.00390625" defaultRowHeight="12.75" outlineLevelRow="1"/>
  <cols>
    <col min="1" max="1" width="74.875" style="2" customWidth="1"/>
    <col min="2" max="2" width="9.125" style="13" customWidth="1"/>
    <col min="3" max="3" width="3.625" style="13" bestFit="1" customWidth="1"/>
    <col min="4" max="4" width="4.00390625" style="2" bestFit="1" customWidth="1"/>
    <col min="5" max="8" width="2.75390625" style="2" bestFit="1" customWidth="1"/>
    <col min="9" max="9" width="4.375" style="2" customWidth="1"/>
    <col min="10" max="10" width="3.625" style="2" bestFit="1" customWidth="1"/>
    <col min="11" max="11" width="16.125" style="2" customWidth="1"/>
    <col min="12" max="13" width="16.125" style="1" customWidth="1"/>
    <col min="14" max="14" width="7.125" style="1" customWidth="1"/>
    <col min="15" max="15" width="13.875" style="1" customWidth="1"/>
    <col min="16" max="16" width="15.75390625" style="1" customWidth="1"/>
    <col min="17" max="17" width="17.375" style="1" customWidth="1"/>
    <col min="18" max="32" width="9.125" style="1" customWidth="1"/>
    <col min="33" max="16384" width="9.125" style="2" customWidth="1"/>
  </cols>
  <sheetData>
    <row r="2" ht="11.25">
      <c r="M2" s="5" t="s">
        <v>1026</v>
      </c>
    </row>
    <row r="4" spans="1:13" ht="11.25">
      <c r="A4" s="350" t="s">
        <v>514</v>
      </c>
      <c r="B4" s="350"/>
      <c r="C4" s="350"/>
      <c r="D4" s="350"/>
      <c r="E4" s="350"/>
      <c r="F4" s="350"/>
      <c r="G4" s="350"/>
      <c r="H4" s="350"/>
      <c r="I4" s="350"/>
      <c r="J4" s="350"/>
      <c r="K4" s="350"/>
      <c r="L4" s="350"/>
      <c r="M4" s="350"/>
    </row>
    <row r="5" spans="1:10" ht="15.75" customHeight="1">
      <c r="A5" s="14"/>
      <c r="B5" s="15"/>
      <c r="C5" s="15"/>
      <c r="D5" s="16"/>
      <c r="E5" s="16"/>
      <c r="F5" s="16"/>
      <c r="G5" s="16"/>
      <c r="H5" s="16"/>
      <c r="I5" s="16"/>
      <c r="J5" s="16"/>
    </row>
    <row r="6" spans="1:13" ht="12.75" customHeight="1">
      <c r="A6" s="351" t="s">
        <v>438</v>
      </c>
      <c r="B6" s="351" t="s">
        <v>439</v>
      </c>
      <c r="C6" s="353" t="s">
        <v>418</v>
      </c>
      <c r="D6" s="354"/>
      <c r="E6" s="354"/>
      <c r="F6" s="354"/>
      <c r="G6" s="354"/>
      <c r="H6" s="354"/>
      <c r="I6" s="354"/>
      <c r="J6" s="355"/>
      <c r="K6" s="351" t="s">
        <v>441</v>
      </c>
      <c r="L6" s="360" t="s">
        <v>442</v>
      </c>
      <c r="M6" s="359" t="s">
        <v>805</v>
      </c>
    </row>
    <row r="7" spans="1:13" ht="42" customHeight="1">
      <c r="A7" s="352"/>
      <c r="B7" s="352"/>
      <c r="C7" s="356"/>
      <c r="D7" s="357"/>
      <c r="E7" s="357"/>
      <c r="F7" s="357"/>
      <c r="G7" s="357"/>
      <c r="H7" s="357"/>
      <c r="I7" s="357"/>
      <c r="J7" s="358"/>
      <c r="K7" s="352"/>
      <c r="L7" s="361"/>
      <c r="M7" s="359"/>
    </row>
    <row r="8" spans="1:32" s="19" customFormat="1" ht="11.25">
      <c r="A8" s="21">
        <v>1</v>
      </c>
      <c r="B8" s="22" t="s">
        <v>54</v>
      </c>
      <c r="C8" s="332">
        <v>3</v>
      </c>
      <c r="D8" s="333"/>
      <c r="E8" s="333"/>
      <c r="F8" s="333"/>
      <c r="G8" s="333"/>
      <c r="H8" s="333"/>
      <c r="I8" s="333"/>
      <c r="J8" s="334"/>
      <c r="K8" s="61">
        <v>4</v>
      </c>
      <c r="L8" s="17">
        <v>5</v>
      </c>
      <c r="M8" s="17" t="s">
        <v>1404</v>
      </c>
      <c r="N8" s="18"/>
      <c r="O8" s="18"/>
      <c r="P8" s="18"/>
      <c r="Q8" s="18"/>
      <c r="R8" s="18"/>
      <c r="S8" s="18"/>
      <c r="T8" s="18"/>
      <c r="U8" s="18"/>
      <c r="V8" s="18"/>
      <c r="W8" s="18"/>
      <c r="X8" s="18"/>
      <c r="Y8" s="18"/>
      <c r="Z8" s="18"/>
      <c r="AA8" s="18"/>
      <c r="AB8" s="18"/>
      <c r="AC8" s="18"/>
      <c r="AD8" s="18"/>
      <c r="AE8" s="18"/>
      <c r="AF8" s="18"/>
    </row>
    <row r="9" spans="1:32" s="20" customFormat="1" ht="11.25">
      <c r="A9" s="109" t="s">
        <v>419</v>
      </c>
      <c r="B9" s="110">
        <v>500</v>
      </c>
      <c r="C9" s="335" t="s">
        <v>2369</v>
      </c>
      <c r="D9" s="336"/>
      <c r="E9" s="336"/>
      <c r="F9" s="336"/>
      <c r="G9" s="336"/>
      <c r="H9" s="336"/>
      <c r="I9" s="336"/>
      <c r="J9" s="337"/>
      <c r="K9" s="114">
        <f>K11+K27+K29</f>
        <v>95345580.63000011</v>
      </c>
      <c r="L9" s="114">
        <f>L11+L27+L29</f>
        <v>-121084904.26999947</v>
      </c>
      <c r="M9" s="81">
        <f aca="true" t="shared" si="0" ref="M9:M29">IF(K9-L9&gt;0,K9-L9,"-")</f>
        <v>216430484.8999996</v>
      </c>
      <c r="N9" s="18"/>
      <c r="O9" s="18"/>
      <c r="P9" s="18"/>
      <c r="Q9" s="18"/>
      <c r="R9" s="18"/>
      <c r="S9" s="18"/>
      <c r="T9" s="18"/>
      <c r="U9" s="18"/>
      <c r="V9" s="18"/>
      <c r="W9" s="18"/>
      <c r="X9" s="18"/>
      <c r="Y9" s="18"/>
      <c r="Z9" s="18"/>
      <c r="AA9" s="18"/>
      <c r="AB9" s="18"/>
      <c r="AC9" s="18"/>
      <c r="AD9" s="18"/>
      <c r="AE9" s="18"/>
      <c r="AF9" s="18"/>
    </row>
    <row r="10" spans="1:32" s="20" customFormat="1" ht="11.25">
      <c r="A10" s="109" t="s">
        <v>1391</v>
      </c>
      <c r="B10" s="110"/>
      <c r="C10" s="344"/>
      <c r="D10" s="345"/>
      <c r="E10" s="345"/>
      <c r="F10" s="345"/>
      <c r="G10" s="345"/>
      <c r="H10" s="345"/>
      <c r="I10" s="345"/>
      <c r="J10" s="346"/>
      <c r="K10" s="241"/>
      <c r="L10" s="241"/>
      <c r="M10" s="242"/>
      <c r="N10" s="18"/>
      <c r="O10" s="18"/>
      <c r="P10" s="18"/>
      <c r="Q10" s="18"/>
      <c r="R10" s="18"/>
      <c r="S10" s="18"/>
      <c r="T10" s="18"/>
      <c r="U10" s="18"/>
      <c r="V10" s="18"/>
      <c r="W10" s="18"/>
      <c r="X10" s="18"/>
      <c r="Y10" s="18"/>
      <c r="Z10" s="18"/>
      <c r="AA10" s="18"/>
      <c r="AB10" s="18"/>
      <c r="AC10" s="18"/>
      <c r="AD10" s="18"/>
      <c r="AE10" s="18"/>
      <c r="AF10" s="18"/>
    </row>
    <row r="11" spans="1:32" s="20" customFormat="1" ht="11.25">
      <c r="A11" s="109" t="s">
        <v>421</v>
      </c>
      <c r="B11" s="110" t="s">
        <v>422</v>
      </c>
      <c r="C11" s="338" t="s">
        <v>2369</v>
      </c>
      <c r="D11" s="339"/>
      <c r="E11" s="339"/>
      <c r="F11" s="339"/>
      <c r="G11" s="339"/>
      <c r="H11" s="339"/>
      <c r="I11" s="339"/>
      <c r="J11" s="340"/>
      <c r="K11" s="114">
        <f>K19+K13</f>
        <v>3120000</v>
      </c>
      <c r="L11" s="114">
        <f>L19+L13</f>
        <v>3165779.289999999</v>
      </c>
      <c r="M11" s="45" t="str">
        <f>IF(K11-L11&gt;0,K11-L11,"-")</f>
        <v>-</v>
      </c>
      <c r="N11" s="18"/>
      <c r="O11" s="18"/>
      <c r="P11" s="18"/>
      <c r="Q11" s="18"/>
      <c r="R11" s="18"/>
      <c r="S11" s="18"/>
      <c r="T11" s="18"/>
      <c r="U11" s="18"/>
      <c r="V11" s="18"/>
      <c r="W11" s="18"/>
      <c r="X11" s="18"/>
      <c r="Y11" s="18"/>
      <c r="Z11" s="18"/>
      <c r="AA11" s="18"/>
      <c r="AB11" s="18"/>
      <c r="AC11" s="18"/>
      <c r="AD11" s="18"/>
      <c r="AE11" s="18"/>
      <c r="AF11" s="18"/>
    </row>
    <row r="12" spans="1:32" s="20" customFormat="1" ht="11.25">
      <c r="A12" s="49" t="s">
        <v>642</v>
      </c>
      <c r="B12" s="50"/>
      <c r="C12" s="347"/>
      <c r="D12" s="348"/>
      <c r="E12" s="348"/>
      <c r="F12" s="348"/>
      <c r="G12" s="348"/>
      <c r="H12" s="348"/>
      <c r="I12" s="348"/>
      <c r="J12" s="349"/>
      <c r="K12" s="62"/>
      <c r="L12" s="62"/>
      <c r="M12" s="228"/>
      <c r="N12" s="18"/>
      <c r="O12" s="18"/>
      <c r="P12" s="18"/>
      <c r="Q12" s="18"/>
      <c r="R12" s="18"/>
      <c r="S12" s="18"/>
      <c r="T12" s="18"/>
      <c r="U12" s="18"/>
      <c r="V12" s="18"/>
      <c r="W12" s="18"/>
      <c r="X12" s="18"/>
      <c r="Y12" s="18"/>
      <c r="Z12" s="18"/>
      <c r="AA12" s="18"/>
      <c r="AB12" s="18"/>
      <c r="AC12" s="18"/>
      <c r="AD12" s="18"/>
      <c r="AE12" s="18"/>
      <c r="AF12" s="18"/>
    </row>
    <row r="13" spans="1:32" s="20" customFormat="1" ht="11.25">
      <c r="A13" s="96" t="s">
        <v>1150</v>
      </c>
      <c r="B13" s="97" t="s">
        <v>422</v>
      </c>
      <c r="C13" s="98" t="s">
        <v>328</v>
      </c>
      <c r="D13" s="99" t="s">
        <v>1397</v>
      </c>
      <c r="E13" s="99" t="s">
        <v>609</v>
      </c>
      <c r="F13" s="99" t="s">
        <v>1394</v>
      </c>
      <c r="G13" s="99" t="s">
        <v>1394</v>
      </c>
      <c r="H13" s="99" t="s">
        <v>1394</v>
      </c>
      <c r="I13" s="99" t="s">
        <v>1395</v>
      </c>
      <c r="J13" s="100" t="s">
        <v>1392</v>
      </c>
      <c r="K13" s="101">
        <f aca="true" t="shared" si="1" ref="K13:L17">K14</f>
        <v>-30000000</v>
      </c>
      <c r="L13" s="101">
        <f t="shared" si="1"/>
        <v>-30000000</v>
      </c>
      <c r="M13" s="127" t="str">
        <f t="shared" si="0"/>
        <v>-</v>
      </c>
      <c r="N13" s="18"/>
      <c r="O13" s="18"/>
      <c r="P13" s="18"/>
      <c r="Q13" s="18"/>
      <c r="R13" s="18"/>
      <c r="S13" s="18"/>
      <c r="T13" s="18"/>
      <c r="U13" s="18"/>
      <c r="V13" s="18"/>
      <c r="W13" s="18"/>
      <c r="X13" s="18"/>
      <c r="Y13" s="18"/>
      <c r="Z13" s="18"/>
      <c r="AA13" s="18"/>
      <c r="AB13" s="18"/>
      <c r="AC13" s="18"/>
      <c r="AD13" s="18"/>
      <c r="AE13" s="18"/>
      <c r="AF13" s="18"/>
    </row>
    <row r="14" spans="1:32" s="20" customFormat="1" ht="22.5">
      <c r="A14" s="49" t="s">
        <v>1151</v>
      </c>
      <c r="B14" s="54" t="s">
        <v>422</v>
      </c>
      <c r="C14" s="51" t="s">
        <v>328</v>
      </c>
      <c r="D14" s="102" t="s">
        <v>1397</v>
      </c>
      <c r="E14" s="102" t="s">
        <v>609</v>
      </c>
      <c r="F14" s="102" t="s">
        <v>1397</v>
      </c>
      <c r="G14" s="102" t="s">
        <v>1394</v>
      </c>
      <c r="H14" s="102" t="s">
        <v>1394</v>
      </c>
      <c r="I14" s="102" t="s">
        <v>1395</v>
      </c>
      <c r="J14" s="103" t="s">
        <v>1392</v>
      </c>
      <c r="K14" s="104">
        <f>K15+K17</f>
        <v>-30000000</v>
      </c>
      <c r="L14" s="104">
        <f>L15+L17</f>
        <v>-30000000</v>
      </c>
      <c r="M14" s="45" t="str">
        <f t="shared" si="0"/>
        <v>-</v>
      </c>
      <c r="N14" s="18"/>
      <c r="O14" s="18"/>
      <c r="P14" s="18"/>
      <c r="Q14" s="18"/>
      <c r="R14" s="18"/>
      <c r="S14" s="18"/>
      <c r="T14" s="18"/>
      <c r="U14" s="18"/>
      <c r="V14" s="18"/>
      <c r="W14" s="18"/>
      <c r="X14" s="18"/>
      <c r="Y14" s="18"/>
      <c r="Z14" s="18"/>
      <c r="AA14" s="18"/>
      <c r="AB14" s="18"/>
      <c r="AC14" s="18"/>
      <c r="AD14" s="18"/>
      <c r="AE14" s="18"/>
      <c r="AF14" s="18"/>
    </row>
    <row r="15" spans="1:32" s="20" customFormat="1" ht="22.5" hidden="1" outlineLevel="1">
      <c r="A15" s="49" t="s">
        <v>1152</v>
      </c>
      <c r="B15" s="54" t="s">
        <v>422</v>
      </c>
      <c r="C15" s="51" t="s">
        <v>328</v>
      </c>
      <c r="D15" s="102" t="s">
        <v>1397</v>
      </c>
      <c r="E15" s="102" t="s">
        <v>609</v>
      </c>
      <c r="F15" s="102" t="s">
        <v>1397</v>
      </c>
      <c r="G15" s="102" t="s">
        <v>1394</v>
      </c>
      <c r="H15" s="102" t="s">
        <v>1394</v>
      </c>
      <c r="I15" s="102" t="s">
        <v>1395</v>
      </c>
      <c r="J15" s="103" t="s">
        <v>643</v>
      </c>
      <c r="K15" s="104">
        <f t="shared" si="1"/>
        <v>0</v>
      </c>
      <c r="L15" s="104">
        <f t="shared" si="1"/>
        <v>0</v>
      </c>
      <c r="M15" s="45" t="str">
        <f t="shared" si="0"/>
        <v>-</v>
      </c>
      <c r="N15" s="18"/>
      <c r="O15" s="18"/>
      <c r="P15" s="18"/>
      <c r="Q15" s="18"/>
      <c r="R15" s="18"/>
      <c r="S15" s="18"/>
      <c r="T15" s="18"/>
      <c r="U15" s="18"/>
      <c r="V15" s="18"/>
      <c r="W15" s="18"/>
      <c r="X15" s="18"/>
      <c r="Y15" s="18"/>
      <c r="Z15" s="18"/>
      <c r="AA15" s="18"/>
      <c r="AB15" s="18"/>
      <c r="AC15" s="18"/>
      <c r="AD15" s="18"/>
      <c r="AE15" s="18"/>
      <c r="AF15" s="18"/>
    </row>
    <row r="16" spans="1:32" s="20" customFormat="1" ht="22.5" hidden="1" outlineLevel="1">
      <c r="A16" s="49" t="s">
        <v>1153</v>
      </c>
      <c r="B16" s="54" t="s">
        <v>422</v>
      </c>
      <c r="C16" s="51" t="s">
        <v>328</v>
      </c>
      <c r="D16" s="102" t="s">
        <v>1397</v>
      </c>
      <c r="E16" s="102" t="s">
        <v>609</v>
      </c>
      <c r="F16" s="102" t="s">
        <v>1397</v>
      </c>
      <c r="G16" s="102" t="s">
        <v>1394</v>
      </c>
      <c r="H16" s="102" t="s">
        <v>673</v>
      </c>
      <c r="I16" s="102" t="s">
        <v>1395</v>
      </c>
      <c r="J16" s="103" t="s">
        <v>57</v>
      </c>
      <c r="K16" s="62">
        <v>0</v>
      </c>
      <c r="L16" s="62">
        <v>0</v>
      </c>
      <c r="M16" s="81" t="str">
        <f t="shared" si="0"/>
        <v>-</v>
      </c>
      <c r="N16" s="18"/>
      <c r="O16" s="18"/>
      <c r="P16" s="18"/>
      <c r="Q16" s="18"/>
      <c r="R16" s="18"/>
      <c r="S16" s="18"/>
      <c r="T16" s="18"/>
      <c r="U16" s="18"/>
      <c r="V16" s="18"/>
      <c r="W16" s="18"/>
      <c r="X16" s="18"/>
      <c r="Y16" s="18"/>
      <c r="Z16" s="18"/>
      <c r="AA16" s="18"/>
      <c r="AB16" s="18"/>
      <c r="AC16" s="18"/>
      <c r="AD16" s="18"/>
      <c r="AE16" s="18"/>
      <c r="AF16" s="18"/>
    </row>
    <row r="17" spans="1:32" s="20" customFormat="1" ht="22.5" collapsed="1">
      <c r="A17" s="49" t="s">
        <v>1249</v>
      </c>
      <c r="B17" s="54" t="s">
        <v>422</v>
      </c>
      <c r="C17" s="51" t="s">
        <v>328</v>
      </c>
      <c r="D17" s="102" t="s">
        <v>1397</v>
      </c>
      <c r="E17" s="102" t="s">
        <v>609</v>
      </c>
      <c r="F17" s="102" t="s">
        <v>1397</v>
      </c>
      <c r="G17" s="102" t="s">
        <v>1394</v>
      </c>
      <c r="H17" s="102" t="s">
        <v>1394</v>
      </c>
      <c r="I17" s="102" t="s">
        <v>1395</v>
      </c>
      <c r="J17" s="103" t="s">
        <v>1250</v>
      </c>
      <c r="K17" s="104">
        <f t="shared" si="1"/>
        <v>-30000000</v>
      </c>
      <c r="L17" s="104">
        <f t="shared" si="1"/>
        <v>-30000000</v>
      </c>
      <c r="M17" s="81" t="str">
        <f>IF(K17-L17&lt;0,K17-L17,"-")</f>
        <v>-</v>
      </c>
      <c r="N17" s="18"/>
      <c r="O17" s="18"/>
      <c r="P17" s="18"/>
      <c r="Q17" s="18"/>
      <c r="R17" s="18"/>
      <c r="S17" s="18"/>
      <c r="T17" s="18"/>
      <c r="U17" s="18"/>
      <c r="V17" s="18"/>
      <c r="W17" s="18"/>
      <c r="X17" s="18"/>
      <c r="Y17" s="18"/>
      <c r="Z17" s="18"/>
      <c r="AA17" s="18"/>
      <c r="AB17" s="18"/>
      <c r="AC17" s="18"/>
      <c r="AD17" s="18"/>
      <c r="AE17" s="18"/>
      <c r="AF17" s="18"/>
    </row>
    <row r="18" spans="1:32" s="20" customFormat="1" ht="22.5">
      <c r="A18" s="49" t="s">
        <v>1251</v>
      </c>
      <c r="B18" s="54" t="s">
        <v>422</v>
      </c>
      <c r="C18" s="51" t="s">
        <v>328</v>
      </c>
      <c r="D18" s="102" t="s">
        <v>1397</v>
      </c>
      <c r="E18" s="102" t="s">
        <v>609</v>
      </c>
      <c r="F18" s="102" t="s">
        <v>1397</v>
      </c>
      <c r="G18" s="102" t="s">
        <v>1394</v>
      </c>
      <c r="H18" s="102" t="s">
        <v>673</v>
      </c>
      <c r="I18" s="102" t="s">
        <v>1395</v>
      </c>
      <c r="J18" s="103" t="s">
        <v>1252</v>
      </c>
      <c r="K18" s="62">
        <v>-30000000</v>
      </c>
      <c r="L18" s="62">
        <v>-30000000</v>
      </c>
      <c r="M18" s="81" t="str">
        <f>IF(K18-L18&lt;0,K18-L18,"-")</f>
        <v>-</v>
      </c>
      <c r="N18" s="18"/>
      <c r="O18" s="18"/>
      <c r="P18" s="18"/>
      <c r="Q18" s="18"/>
      <c r="R18" s="18"/>
      <c r="S18" s="18"/>
      <c r="T18" s="18"/>
      <c r="U18" s="18"/>
      <c r="V18" s="18"/>
      <c r="W18" s="18"/>
      <c r="X18" s="18"/>
      <c r="Y18" s="18"/>
      <c r="Z18" s="18"/>
      <c r="AA18" s="18"/>
      <c r="AB18" s="18"/>
      <c r="AC18" s="18"/>
      <c r="AD18" s="18"/>
      <c r="AE18" s="18"/>
      <c r="AF18" s="18"/>
    </row>
    <row r="19" spans="1:32" s="20" customFormat="1" ht="11.25">
      <c r="A19" s="105" t="s">
        <v>718</v>
      </c>
      <c r="B19" s="21" t="s">
        <v>422</v>
      </c>
      <c r="C19" s="22" t="s">
        <v>1392</v>
      </c>
      <c r="D19" s="106" t="s">
        <v>1397</v>
      </c>
      <c r="E19" s="106" t="s">
        <v>68</v>
      </c>
      <c r="F19" s="106" t="s">
        <v>1394</v>
      </c>
      <c r="G19" s="106" t="s">
        <v>1394</v>
      </c>
      <c r="H19" s="106" t="s">
        <v>1394</v>
      </c>
      <c r="I19" s="106" t="s">
        <v>1395</v>
      </c>
      <c r="J19" s="107" t="s">
        <v>1392</v>
      </c>
      <c r="K19" s="108">
        <f>K20</f>
        <v>33120000</v>
      </c>
      <c r="L19" s="108">
        <f>L20</f>
        <v>33165779.29</v>
      </c>
      <c r="M19" s="81" t="str">
        <f t="shared" si="0"/>
        <v>-</v>
      </c>
      <c r="N19" s="18"/>
      <c r="O19" s="18"/>
      <c r="P19" s="18"/>
      <c r="Q19" s="18"/>
      <c r="R19" s="18"/>
      <c r="S19" s="18"/>
      <c r="T19" s="18"/>
      <c r="U19" s="18"/>
      <c r="V19" s="18"/>
      <c r="W19" s="18"/>
      <c r="X19" s="18"/>
      <c r="Y19" s="18"/>
      <c r="Z19" s="18"/>
      <c r="AA19" s="18"/>
      <c r="AB19" s="18"/>
      <c r="AC19" s="18"/>
      <c r="AD19" s="18"/>
      <c r="AE19" s="18"/>
      <c r="AF19" s="18"/>
    </row>
    <row r="20" spans="1:32" s="20" customFormat="1" ht="11.25">
      <c r="A20" s="109" t="s">
        <v>1063</v>
      </c>
      <c r="B20" s="110" t="s">
        <v>422</v>
      </c>
      <c r="C20" s="111" t="s">
        <v>328</v>
      </c>
      <c r="D20" s="112" t="s">
        <v>1397</v>
      </c>
      <c r="E20" s="112" t="s">
        <v>68</v>
      </c>
      <c r="F20" s="112" t="s">
        <v>673</v>
      </c>
      <c r="G20" s="112" t="s">
        <v>1394</v>
      </c>
      <c r="H20" s="112" t="s">
        <v>1394</v>
      </c>
      <c r="I20" s="112" t="s">
        <v>1395</v>
      </c>
      <c r="J20" s="113" t="s">
        <v>1392</v>
      </c>
      <c r="K20" s="114">
        <f>K21</f>
        <v>33120000</v>
      </c>
      <c r="L20" s="114">
        <f>L21</f>
        <v>33165779.29</v>
      </c>
      <c r="M20" s="81" t="str">
        <f t="shared" si="0"/>
        <v>-</v>
      </c>
      <c r="N20" s="18"/>
      <c r="O20" s="18"/>
      <c r="P20" s="18"/>
      <c r="Q20" s="18"/>
      <c r="R20" s="18"/>
      <c r="S20" s="18"/>
      <c r="T20" s="18"/>
      <c r="U20" s="18"/>
      <c r="V20" s="18"/>
      <c r="W20" s="18"/>
      <c r="X20" s="18"/>
      <c r="Y20" s="18"/>
      <c r="Z20" s="18"/>
      <c r="AA20" s="18"/>
      <c r="AB20" s="18"/>
      <c r="AC20" s="18"/>
      <c r="AD20" s="18"/>
      <c r="AE20" s="18"/>
      <c r="AF20" s="18"/>
    </row>
    <row r="21" spans="1:32" s="20" customFormat="1" ht="22.5">
      <c r="A21" s="109" t="s">
        <v>657</v>
      </c>
      <c r="B21" s="110" t="s">
        <v>422</v>
      </c>
      <c r="C21" s="111" t="s">
        <v>328</v>
      </c>
      <c r="D21" s="112" t="s">
        <v>1397</v>
      </c>
      <c r="E21" s="112" t="s">
        <v>68</v>
      </c>
      <c r="F21" s="112" t="s">
        <v>673</v>
      </c>
      <c r="G21" s="112" t="s">
        <v>1394</v>
      </c>
      <c r="H21" s="112" t="s">
        <v>1394</v>
      </c>
      <c r="I21" s="112" t="s">
        <v>1395</v>
      </c>
      <c r="J21" s="113" t="s">
        <v>445</v>
      </c>
      <c r="K21" s="114">
        <f>K25+K22</f>
        <v>33120000</v>
      </c>
      <c r="L21" s="114">
        <f>L25+L22</f>
        <v>33165779.29</v>
      </c>
      <c r="M21" s="81" t="str">
        <f t="shared" si="0"/>
        <v>-</v>
      </c>
      <c r="N21" s="18"/>
      <c r="O21" s="18"/>
      <c r="P21" s="18"/>
      <c r="Q21" s="18"/>
      <c r="R21" s="18"/>
      <c r="S21" s="18"/>
      <c r="T21" s="18"/>
      <c r="U21" s="18"/>
      <c r="V21" s="18"/>
      <c r="W21" s="18"/>
      <c r="X21" s="18"/>
      <c r="Y21" s="18"/>
      <c r="Z21" s="18"/>
      <c r="AA21" s="18"/>
      <c r="AB21" s="18"/>
      <c r="AC21" s="18"/>
      <c r="AD21" s="18"/>
      <c r="AE21" s="18"/>
      <c r="AF21" s="18"/>
    </row>
    <row r="22" spans="1:32" s="20" customFormat="1" ht="22.5">
      <c r="A22" s="109" t="s">
        <v>1798</v>
      </c>
      <c r="B22" s="110" t="s">
        <v>422</v>
      </c>
      <c r="C22" s="111" t="s">
        <v>328</v>
      </c>
      <c r="D22" s="112" t="s">
        <v>1397</v>
      </c>
      <c r="E22" s="112" t="s">
        <v>68</v>
      </c>
      <c r="F22" s="112" t="s">
        <v>673</v>
      </c>
      <c r="G22" s="112" t="s">
        <v>1397</v>
      </c>
      <c r="H22" s="112" t="s">
        <v>1394</v>
      </c>
      <c r="I22" s="112" t="s">
        <v>1395</v>
      </c>
      <c r="J22" s="113" t="s">
        <v>445</v>
      </c>
      <c r="K22" s="114">
        <f>K23</f>
        <v>0</v>
      </c>
      <c r="L22" s="114">
        <f>L23</f>
        <v>43779.29</v>
      </c>
      <c r="M22" s="81" t="str">
        <f t="shared" si="0"/>
        <v>-</v>
      </c>
      <c r="N22" s="18"/>
      <c r="O22" s="18"/>
      <c r="P22" s="18"/>
      <c r="Q22" s="18"/>
      <c r="R22" s="18"/>
      <c r="S22" s="18"/>
      <c r="T22" s="18"/>
      <c r="U22" s="18"/>
      <c r="V22" s="18"/>
      <c r="W22" s="18"/>
      <c r="X22" s="18"/>
      <c r="Y22" s="18"/>
      <c r="Z22" s="18"/>
      <c r="AA22" s="18"/>
      <c r="AB22" s="18"/>
      <c r="AC22" s="18"/>
      <c r="AD22" s="18"/>
      <c r="AE22" s="18"/>
      <c r="AF22" s="18"/>
    </row>
    <row r="23" spans="1:32" s="20" customFormat="1" ht="22.5">
      <c r="A23" s="109" t="s">
        <v>1799</v>
      </c>
      <c r="B23" s="110" t="s">
        <v>422</v>
      </c>
      <c r="C23" s="111" t="s">
        <v>328</v>
      </c>
      <c r="D23" s="112" t="s">
        <v>1397</v>
      </c>
      <c r="E23" s="112" t="s">
        <v>68</v>
      </c>
      <c r="F23" s="112" t="s">
        <v>673</v>
      </c>
      <c r="G23" s="112" t="s">
        <v>1397</v>
      </c>
      <c r="H23" s="112" t="s">
        <v>673</v>
      </c>
      <c r="I23" s="112" t="s">
        <v>1395</v>
      </c>
      <c r="J23" s="113" t="s">
        <v>446</v>
      </c>
      <c r="K23" s="114">
        <f>K24</f>
        <v>0</v>
      </c>
      <c r="L23" s="114">
        <f>L24</f>
        <v>43779.29</v>
      </c>
      <c r="M23" s="81" t="str">
        <f t="shared" si="0"/>
        <v>-</v>
      </c>
      <c r="N23" s="18"/>
      <c r="O23" s="18"/>
      <c r="P23" s="18"/>
      <c r="Q23" s="18"/>
      <c r="R23" s="18"/>
      <c r="S23" s="18"/>
      <c r="T23" s="18"/>
      <c r="U23" s="18"/>
      <c r="V23" s="18"/>
      <c r="W23" s="18"/>
      <c r="X23" s="18"/>
      <c r="Y23" s="18"/>
      <c r="Z23" s="18"/>
      <c r="AA23" s="18"/>
      <c r="AB23" s="18"/>
      <c r="AC23" s="18"/>
      <c r="AD23" s="18"/>
      <c r="AE23" s="18"/>
      <c r="AF23" s="18"/>
    </row>
    <row r="24" spans="1:32" s="20" customFormat="1" ht="33.75">
      <c r="A24" s="109" t="s">
        <v>1800</v>
      </c>
      <c r="B24" s="110" t="s">
        <v>422</v>
      </c>
      <c r="C24" s="111" t="s">
        <v>328</v>
      </c>
      <c r="D24" s="112" t="s">
        <v>1397</v>
      </c>
      <c r="E24" s="112" t="s">
        <v>68</v>
      </c>
      <c r="F24" s="112" t="s">
        <v>673</v>
      </c>
      <c r="G24" s="112" t="s">
        <v>1397</v>
      </c>
      <c r="H24" s="112" t="s">
        <v>673</v>
      </c>
      <c r="I24" s="112" t="s">
        <v>721</v>
      </c>
      <c r="J24" s="113" t="s">
        <v>446</v>
      </c>
      <c r="K24" s="233">
        <v>0</v>
      </c>
      <c r="L24" s="233">
        <v>43779.29</v>
      </c>
      <c r="M24" s="81" t="str">
        <f t="shared" si="0"/>
        <v>-</v>
      </c>
      <c r="N24" s="18"/>
      <c r="O24" s="18"/>
      <c r="P24" s="18"/>
      <c r="Q24" s="18"/>
      <c r="R24" s="18"/>
      <c r="S24" s="18"/>
      <c r="T24" s="18"/>
      <c r="U24" s="18"/>
      <c r="V24" s="18"/>
      <c r="W24" s="18"/>
      <c r="X24" s="18"/>
      <c r="Y24" s="18"/>
      <c r="Z24" s="18"/>
      <c r="AA24" s="18"/>
      <c r="AB24" s="18"/>
      <c r="AC24" s="18"/>
      <c r="AD24" s="18"/>
      <c r="AE24" s="18"/>
      <c r="AF24" s="18"/>
    </row>
    <row r="25" spans="1:32" s="20" customFormat="1" ht="22.5">
      <c r="A25" s="115" t="s">
        <v>1064</v>
      </c>
      <c r="B25" s="110" t="s">
        <v>422</v>
      </c>
      <c r="C25" s="111" t="s">
        <v>328</v>
      </c>
      <c r="D25" s="112" t="s">
        <v>1397</v>
      </c>
      <c r="E25" s="112" t="s">
        <v>68</v>
      </c>
      <c r="F25" s="112" t="s">
        <v>673</v>
      </c>
      <c r="G25" s="112" t="s">
        <v>1400</v>
      </c>
      <c r="H25" s="112" t="s">
        <v>1394</v>
      </c>
      <c r="I25" s="112" t="s">
        <v>1395</v>
      </c>
      <c r="J25" s="113" t="s">
        <v>445</v>
      </c>
      <c r="K25" s="114">
        <f>K26</f>
        <v>33120000</v>
      </c>
      <c r="L25" s="114">
        <f>L26</f>
        <v>33122000</v>
      </c>
      <c r="M25" s="81" t="str">
        <f t="shared" si="0"/>
        <v>-</v>
      </c>
      <c r="N25" s="18"/>
      <c r="O25" s="18"/>
      <c r="P25" s="18"/>
      <c r="Q25" s="18"/>
      <c r="R25" s="18"/>
      <c r="S25" s="18"/>
      <c r="T25" s="18"/>
      <c r="U25" s="18"/>
      <c r="V25" s="18"/>
      <c r="W25" s="18"/>
      <c r="X25" s="18"/>
      <c r="Y25" s="18"/>
      <c r="Z25" s="18"/>
      <c r="AA25" s="18"/>
      <c r="AB25" s="18"/>
      <c r="AC25" s="18"/>
      <c r="AD25" s="18"/>
      <c r="AE25" s="18"/>
      <c r="AF25" s="18"/>
    </row>
    <row r="26" spans="1:32" s="20" customFormat="1" ht="22.5">
      <c r="A26" s="109" t="s">
        <v>485</v>
      </c>
      <c r="B26" s="110" t="s">
        <v>422</v>
      </c>
      <c r="C26" s="111" t="s">
        <v>328</v>
      </c>
      <c r="D26" s="112" t="s">
        <v>1397</v>
      </c>
      <c r="E26" s="112" t="s">
        <v>68</v>
      </c>
      <c r="F26" s="112" t="s">
        <v>673</v>
      </c>
      <c r="G26" s="112" t="s">
        <v>1400</v>
      </c>
      <c r="H26" s="112" t="s">
        <v>673</v>
      </c>
      <c r="I26" s="112" t="s">
        <v>1395</v>
      </c>
      <c r="J26" s="113" t="s">
        <v>446</v>
      </c>
      <c r="K26" s="116">
        <f>7500000+5000000+6000000+14620000</f>
        <v>33120000</v>
      </c>
      <c r="L26" s="116">
        <v>33122000</v>
      </c>
      <c r="M26" s="81" t="str">
        <f t="shared" si="0"/>
        <v>-</v>
      </c>
      <c r="N26" s="18"/>
      <c r="O26" s="18"/>
      <c r="P26" s="18"/>
      <c r="Q26" s="18"/>
      <c r="R26" s="18"/>
      <c r="S26" s="18"/>
      <c r="T26" s="18"/>
      <c r="U26" s="18"/>
      <c r="V26" s="18"/>
      <c r="W26" s="18"/>
      <c r="X26" s="18"/>
      <c r="Y26" s="18"/>
      <c r="Z26" s="18"/>
      <c r="AA26" s="18"/>
      <c r="AB26" s="18"/>
      <c r="AC26" s="18"/>
      <c r="AD26" s="18"/>
      <c r="AE26" s="18"/>
      <c r="AF26" s="18"/>
    </row>
    <row r="27" spans="1:32" s="20" customFormat="1" ht="12.75">
      <c r="A27" s="109" t="s">
        <v>322</v>
      </c>
      <c r="B27" s="110" t="s">
        <v>323</v>
      </c>
      <c r="C27" s="341" t="s">
        <v>254</v>
      </c>
      <c r="D27" s="342"/>
      <c r="E27" s="342"/>
      <c r="F27" s="342"/>
      <c r="G27" s="342"/>
      <c r="H27" s="342"/>
      <c r="I27" s="342"/>
      <c r="J27" s="343"/>
      <c r="K27" s="243"/>
      <c r="L27" s="243"/>
      <c r="M27" s="243"/>
      <c r="N27" s="18"/>
      <c r="O27" s="18"/>
      <c r="P27" s="18"/>
      <c r="Q27" s="18"/>
      <c r="R27" s="18"/>
      <c r="S27" s="18"/>
      <c r="T27" s="18"/>
      <c r="U27" s="18"/>
      <c r="V27" s="18"/>
      <c r="W27" s="18"/>
      <c r="X27" s="18"/>
      <c r="Y27" s="18"/>
      <c r="Z27" s="18"/>
      <c r="AA27" s="18"/>
      <c r="AB27" s="18"/>
      <c r="AC27" s="18"/>
      <c r="AD27" s="18"/>
      <c r="AE27" s="18"/>
      <c r="AF27" s="18"/>
    </row>
    <row r="28" spans="1:32" s="20" customFormat="1" ht="11.25">
      <c r="A28" s="109" t="s">
        <v>642</v>
      </c>
      <c r="B28" s="110"/>
      <c r="C28" s="111"/>
      <c r="D28" s="244"/>
      <c r="E28" s="244"/>
      <c r="F28" s="244"/>
      <c r="G28" s="244"/>
      <c r="H28" s="244"/>
      <c r="I28" s="244"/>
      <c r="J28" s="245"/>
      <c r="K28" s="243"/>
      <c r="L28" s="243"/>
      <c r="M28" s="243"/>
      <c r="N28" s="18"/>
      <c r="O28" s="18"/>
      <c r="P28" s="18"/>
      <c r="Q28" s="18"/>
      <c r="R28" s="18"/>
      <c r="S28" s="18"/>
      <c r="T28" s="18"/>
      <c r="U28" s="18"/>
      <c r="V28" s="18"/>
      <c r="W28" s="18"/>
      <c r="X28" s="18"/>
      <c r="Y28" s="18"/>
      <c r="Z28" s="18"/>
      <c r="AA28" s="18"/>
      <c r="AB28" s="18"/>
      <c r="AC28" s="18"/>
      <c r="AD28" s="18"/>
      <c r="AE28" s="18"/>
      <c r="AF28" s="18"/>
    </row>
    <row r="29" spans="1:32" s="20" customFormat="1" ht="11.25">
      <c r="A29" s="49" t="s">
        <v>1312</v>
      </c>
      <c r="B29" s="50" t="s">
        <v>643</v>
      </c>
      <c r="C29" s="51"/>
      <c r="D29" s="52"/>
      <c r="E29" s="52"/>
      <c r="F29" s="52"/>
      <c r="G29" s="52"/>
      <c r="H29" s="52"/>
      <c r="I29" s="52"/>
      <c r="J29" s="53"/>
      <c r="K29" s="117">
        <f>K31+K36</f>
        <v>92225580.63000011</v>
      </c>
      <c r="L29" s="117">
        <f>L31+L36</f>
        <v>-124250683.55999947</v>
      </c>
      <c r="M29" s="81">
        <f t="shared" si="0"/>
        <v>216476264.18999958</v>
      </c>
      <c r="N29" s="18"/>
      <c r="O29" s="18"/>
      <c r="P29" s="18"/>
      <c r="Q29" s="18"/>
      <c r="R29" s="18"/>
      <c r="S29" s="18"/>
      <c r="T29" s="18"/>
      <c r="U29" s="18"/>
      <c r="V29" s="18"/>
      <c r="W29" s="18"/>
      <c r="X29" s="18"/>
      <c r="Y29" s="18"/>
      <c r="Z29" s="18"/>
      <c r="AA29" s="18"/>
      <c r="AB29" s="18"/>
      <c r="AC29" s="18"/>
      <c r="AD29" s="18"/>
      <c r="AE29" s="18"/>
      <c r="AF29" s="18"/>
    </row>
    <row r="30" spans="1:32" s="20" customFormat="1" ht="11.25">
      <c r="A30" s="49" t="s">
        <v>1313</v>
      </c>
      <c r="B30" s="50" t="s">
        <v>57</v>
      </c>
      <c r="C30" s="51"/>
      <c r="D30" s="52"/>
      <c r="E30" s="52"/>
      <c r="F30" s="52"/>
      <c r="G30" s="52"/>
      <c r="H30" s="52"/>
      <c r="I30" s="52"/>
      <c r="J30" s="53"/>
      <c r="K30" s="95">
        <f>K31</f>
        <v>-8472568973.26</v>
      </c>
      <c r="L30" s="117">
        <f>L31</f>
        <v>-8994561517.38</v>
      </c>
      <c r="M30" s="82" t="s">
        <v>254</v>
      </c>
      <c r="N30" s="18"/>
      <c r="O30" s="18"/>
      <c r="P30" s="18"/>
      <c r="Q30" s="18"/>
      <c r="R30" s="18"/>
      <c r="S30" s="18"/>
      <c r="T30" s="18"/>
      <c r="U30" s="18"/>
      <c r="V30" s="18"/>
      <c r="W30" s="18"/>
      <c r="X30" s="18"/>
      <c r="Y30" s="18"/>
      <c r="Z30" s="18"/>
      <c r="AA30" s="18"/>
      <c r="AB30" s="18"/>
      <c r="AC30" s="18"/>
      <c r="AD30" s="18"/>
      <c r="AE30" s="18"/>
      <c r="AF30" s="18"/>
    </row>
    <row r="31" spans="1:32" s="20" customFormat="1" ht="11.25">
      <c r="A31" s="109" t="s">
        <v>515</v>
      </c>
      <c r="B31" s="110" t="s">
        <v>57</v>
      </c>
      <c r="C31" s="111" t="s">
        <v>328</v>
      </c>
      <c r="D31" s="118" t="s">
        <v>1397</v>
      </c>
      <c r="E31" s="118" t="s">
        <v>673</v>
      </c>
      <c r="F31" s="118" t="s">
        <v>1394</v>
      </c>
      <c r="G31" s="118" t="s">
        <v>1394</v>
      </c>
      <c r="H31" s="118" t="s">
        <v>1394</v>
      </c>
      <c r="I31" s="118" t="s">
        <v>1395</v>
      </c>
      <c r="J31" s="119" t="s">
        <v>420</v>
      </c>
      <c r="K31" s="95">
        <f aca="true" t="shared" si="2" ref="K31:L33">K32</f>
        <v>-8472568973.26</v>
      </c>
      <c r="L31" s="95">
        <f t="shared" si="2"/>
        <v>-8994561517.38</v>
      </c>
      <c r="M31" s="82" t="s">
        <v>254</v>
      </c>
      <c r="N31" s="18"/>
      <c r="O31" s="18"/>
      <c r="P31" s="18"/>
      <c r="Q31" s="18"/>
      <c r="R31" s="18"/>
      <c r="S31" s="18"/>
      <c r="T31" s="18"/>
      <c r="U31" s="18"/>
      <c r="V31" s="18"/>
      <c r="W31" s="18"/>
      <c r="X31" s="18"/>
      <c r="Y31" s="18"/>
      <c r="Z31" s="18"/>
      <c r="AA31" s="18"/>
      <c r="AB31" s="18"/>
      <c r="AC31" s="18"/>
      <c r="AD31" s="18"/>
      <c r="AE31" s="18"/>
      <c r="AF31" s="18"/>
    </row>
    <row r="32" spans="1:13" ht="11.25">
      <c r="A32" s="120" t="s">
        <v>516</v>
      </c>
      <c r="B32" s="121" t="s">
        <v>57</v>
      </c>
      <c r="C32" s="122" t="s">
        <v>328</v>
      </c>
      <c r="D32" s="118" t="s">
        <v>1397</v>
      </c>
      <c r="E32" s="118" t="s">
        <v>673</v>
      </c>
      <c r="F32" s="118" t="s">
        <v>1400</v>
      </c>
      <c r="G32" s="118" t="s">
        <v>1394</v>
      </c>
      <c r="H32" s="118" t="s">
        <v>1394</v>
      </c>
      <c r="I32" s="118" t="s">
        <v>1395</v>
      </c>
      <c r="J32" s="119" t="s">
        <v>420</v>
      </c>
      <c r="K32" s="95">
        <f t="shared" si="2"/>
        <v>-8472568973.26</v>
      </c>
      <c r="L32" s="95">
        <f t="shared" si="2"/>
        <v>-8994561517.38</v>
      </c>
      <c r="M32" s="82" t="s">
        <v>254</v>
      </c>
    </row>
    <row r="33" spans="1:13" ht="11.25">
      <c r="A33" s="120" t="s">
        <v>100</v>
      </c>
      <c r="B33" s="121" t="s">
        <v>57</v>
      </c>
      <c r="C33" s="122" t="s">
        <v>328</v>
      </c>
      <c r="D33" s="118" t="s">
        <v>1397</v>
      </c>
      <c r="E33" s="118" t="s">
        <v>673</v>
      </c>
      <c r="F33" s="118" t="s">
        <v>1400</v>
      </c>
      <c r="G33" s="118" t="s">
        <v>1397</v>
      </c>
      <c r="H33" s="118" t="s">
        <v>1394</v>
      </c>
      <c r="I33" s="118" t="s">
        <v>1395</v>
      </c>
      <c r="J33" s="119" t="s">
        <v>447</v>
      </c>
      <c r="K33" s="95">
        <f t="shared" si="2"/>
        <v>-8472568973.26</v>
      </c>
      <c r="L33" s="95">
        <f t="shared" si="2"/>
        <v>-8994561517.38</v>
      </c>
      <c r="M33" s="82" t="s">
        <v>254</v>
      </c>
    </row>
    <row r="34" spans="1:13" ht="11.25">
      <c r="A34" s="120" t="s">
        <v>1369</v>
      </c>
      <c r="B34" s="121" t="s">
        <v>57</v>
      </c>
      <c r="C34" s="122" t="s">
        <v>328</v>
      </c>
      <c r="D34" s="118" t="s">
        <v>1397</v>
      </c>
      <c r="E34" s="118" t="s">
        <v>673</v>
      </c>
      <c r="F34" s="118" t="s">
        <v>1400</v>
      </c>
      <c r="G34" s="118" t="s">
        <v>1397</v>
      </c>
      <c r="H34" s="118" t="s">
        <v>673</v>
      </c>
      <c r="I34" s="118" t="s">
        <v>1395</v>
      </c>
      <c r="J34" s="119" t="s">
        <v>447</v>
      </c>
      <c r="K34" s="296">
        <v>-8472568973.26</v>
      </c>
      <c r="L34" s="240">
        <v>-8994561517.38</v>
      </c>
      <c r="M34" s="82" t="s">
        <v>254</v>
      </c>
    </row>
    <row r="35" spans="1:32" s="20" customFormat="1" ht="11.25">
      <c r="A35" s="120" t="s">
        <v>1314</v>
      </c>
      <c r="B35" s="121" t="s">
        <v>448</v>
      </c>
      <c r="C35" s="122"/>
      <c r="D35" s="118"/>
      <c r="E35" s="118"/>
      <c r="F35" s="118"/>
      <c r="G35" s="118"/>
      <c r="H35" s="118"/>
      <c r="I35" s="118"/>
      <c r="J35" s="119"/>
      <c r="K35" s="123">
        <f>K36</f>
        <v>8564794553.89</v>
      </c>
      <c r="L35" s="123">
        <f>L36</f>
        <v>8870310833.82</v>
      </c>
      <c r="M35" s="82" t="s">
        <v>254</v>
      </c>
      <c r="N35" s="18"/>
      <c r="O35" s="18"/>
      <c r="P35" s="18"/>
      <c r="Q35" s="18"/>
      <c r="R35" s="18"/>
      <c r="S35" s="18"/>
      <c r="T35" s="18"/>
      <c r="U35" s="18"/>
      <c r="V35" s="18"/>
      <c r="W35" s="18"/>
      <c r="X35" s="18"/>
      <c r="Y35" s="18"/>
      <c r="Z35" s="18"/>
      <c r="AA35" s="18"/>
      <c r="AB35" s="18"/>
      <c r="AC35" s="18"/>
      <c r="AD35" s="18"/>
      <c r="AE35" s="18"/>
      <c r="AF35" s="18"/>
    </row>
    <row r="36" spans="1:32" s="20" customFormat="1" ht="11.25">
      <c r="A36" s="109" t="s">
        <v>1370</v>
      </c>
      <c r="B36" s="110" t="s">
        <v>448</v>
      </c>
      <c r="C36" s="111" t="s">
        <v>328</v>
      </c>
      <c r="D36" s="118" t="s">
        <v>1397</v>
      </c>
      <c r="E36" s="118" t="s">
        <v>673</v>
      </c>
      <c r="F36" s="118" t="s">
        <v>1394</v>
      </c>
      <c r="G36" s="118" t="s">
        <v>1394</v>
      </c>
      <c r="H36" s="118" t="s">
        <v>1394</v>
      </c>
      <c r="I36" s="118" t="s">
        <v>1395</v>
      </c>
      <c r="J36" s="119" t="s">
        <v>445</v>
      </c>
      <c r="K36" s="95">
        <f aca="true" t="shared" si="3" ref="K36:L38">K37</f>
        <v>8564794553.89</v>
      </c>
      <c r="L36" s="95">
        <f t="shared" si="3"/>
        <v>8870310833.82</v>
      </c>
      <c r="M36" s="82" t="s">
        <v>254</v>
      </c>
      <c r="N36" s="18"/>
      <c r="O36" s="18"/>
      <c r="P36" s="18"/>
      <c r="Q36" s="18"/>
      <c r="R36" s="18"/>
      <c r="S36" s="18"/>
      <c r="T36" s="18"/>
      <c r="U36" s="18"/>
      <c r="V36" s="18"/>
      <c r="W36" s="18"/>
      <c r="X36" s="18"/>
      <c r="Y36" s="18"/>
      <c r="Z36" s="18"/>
      <c r="AA36" s="18"/>
      <c r="AB36" s="18"/>
      <c r="AC36" s="18"/>
      <c r="AD36" s="18"/>
      <c r="AE36" s="18"/>
      <c r="AF36" s="18"/>
    </row>
    <row r="37" spans="1:32" s="20" customFormat="1" ht="11.25">
      <c r="A37" s="120" t="s">
        <v>101</v>
      </c>
      <c r="B37" s="121" t="s">
        <v>448</v>
      </c>
      <c r="C37" s="122" t="s">
        <v>328</v>
      </c>
      <c r="D37" s="118" t="s">
        <v>1397</v>
      </c>
      <c r="E37" s="118" t="s">
        <v>673</v>
      </c>
      <c r="F37" s="118" t="s">
        <v>1400</v>
      </c>
      <c r="G37" s="118" t="s">
        <v>1394</v>
      </c>
      <c r="H37" s="118" t="s">
        <v>1394</v>
      </c>
      <c r="I37" s="118" t="s">
        <v>1395</v>
      </c>
      <c r="J37" s="119" t="s">
        <v>445</v>
      </c>
      <c r="K37" s="95">
        <f t="shared" si="3"/>
        <v>8564794553.89</v>
      </c>
      <c r="L37" s="95">
        <f t="shared" si="3"/>
        <v>8870310833.82</v>
      </c>
      <c r="M37" s="82" t="s">
        <v>254</v>
      </c>
      <c r="N37" s="18"/>
      <c r="O37" s="18"/>
      <c r="P37" s="18"/>
      <c r="Q37" s="18"/>
      <c r="R37" s="18"/>
      <c r="S37" s="18"/>
      <c r="T37" s="18"/>
      <c r="U37" s="18"/>
      <c r="V37" s="18"/>
      <c r="W37" s="18"/>
      <c r="X37" s="18"/>
      <c r="Y37" s="18"/>
      <c r="Z37" s="18"/>
      <c r="AA37" s="18"/>
      <c r="AB37" s="18"/>
      <c r="AC37" s="18"/>
      <c r="AD37" s="18"/>
      <c r="AE37" s="18"/>
      <c r="AF37" s="18"/>
    </row>
    <row r="38" spans="1:32" s="20" customFormat="1" ht="11.25">
      <c r="A38" s="120" t="s">
        <v>102</v>
      </c>
      <c r="B38" s="121" t="s">
        <v>448</v>
      </c>
      <c r="C38" s="122" t="s">
        <v>328</v>
      </c>
      <c r="D38" s="118" t="s">
        <v>1397</v>
      </c>
      <c r="E38" s="118" t="s">
        <v>673</v>
      </c>
      <c r="F38" s="118" t="s">
        <v>1400</v>
      </c>
      <c r="G38" s="118" t="s">
        <v>1397</v>
      </c>
      <c r="H38" s="118" t="s">
        <v>1394</v>
      </c>
      <c r="I38" s="118" t="s">
        <v>1395</v>
      </c>
      <c r="J38" s="119" t="s">
        <v>449</v>
      </c>
      <c r="K38" s="95">
        <f t="shared" si="3"/>
        <v>8564794553.89</v>
      </c>
      <c r="L38" s="95">
        <f t="shared" si="3"/>
        <v>8870310833.82</v>
      </c>
      <c r="M38" s="82" t="s">
        <v>254</v>
      </c>
      <c r="N38" s="18"/>
      <c r="O38" s="18"/>
      <c r="P38" s="18"/>
      <c r="Q38" s="18"/>
      <c r="R38" s="18"/>
      <c r="S38" s="18"/>
      <c r="T38" s="18"/>
      <c r="U38" s="18"/>
      <c r="V38" s="18"/>
      <c r="W38" s="18"/>
      <c r="X38" s="18"/>
      <c r="Y38" s="18"/>
      <c r="Z38" s="18"/>
      <c r="AA38" s="18"/>
      <c r="AB38" s="18"/>
      <c r="AC38" s="18"/>
      <c r="AD38" s="18"/>
      <c r="AE38" s="18"/>
      <c r="AF38" s="18"/>
    </row>
    <row r="39" spans="1:32" s="20" customFormat="1" ht="11.25">
      <c r="A39" s="124" t="s">
        <v>1371</v>
      </c>
      <c r="B39" s="125" t="s">
        <v>448</v>
      </c>
      <c r="C39" s="126" t="s">
        <v>328</v>
      </c>
      <c r="D39" s="118" t="s">
        <v>1397</v>
      </c>
      <c r="E39" s="118" t="s">
        <v>673</v>
      </c>
      <c r="F39" s="118" t="s">
        <v>1400</v>
      </c>
      <c r="G39" s="118" t="s">
        <v>1397</v>
      </c>
      <c r="H39" s="118" t="s">
        <v>673</v>
      </c>
      <c r="I39" s="118" t="s">
        <v>1395</v>
      </c>
      <c r="J39" s="119" t="s">
        <v>449</v>
      </c>
      <c r="K39" s="240">
        <v>8564794553.89</v>
      </c>
      <c r="L39" s="240">
        <v>8870310833.82</v>
      </c>
      <c r="M39" s="82" t="s">
        <v>254</v>
      </c>
      <c r="N39" s="18"/>
      <c r="O39" s="18"/>
      <c r="P39" s="18"/>
      <c r="Q39" s="18"/>
      <c r="R39" s="18"/>
      <c r="S39" s="18"/>
      <c r="T39" s="18"/>
      <c r="U39" s="18"/>
      <c r="V39" s="18"/>
      <c r="W39" s="18"/>
      <c r="X39" s="18"/>
      <c r="Y39" s="18"/>
      <c r="Z39" s="18"/>
      <c r="AA39" s="18"/>
      <c r="AB39" s="18"/>
      <c r="AC39" s="18"/>
      <c r="AD39" s="18"/>
      <c r="AE39" s="18"/>
      <c r="AF39" s="18"/>
    </row>
    <row r="40" spans="1:32" s="20" customFormat="1" ht="11.25">
      <c r="A40" s="206"/>
      <c r="B40" s="207"/>
      <c r="C40" s="207"/>
      <c r="D40" s="78"/>
      <c r="E40" s="78"/>
      <c r="F40" s="78"/>
      <c r="G40" s="78"/>
      <c r="H40" s="78"/>
      <c r="I40" s="78"/>
      <c r="J40" s="78"/>
      <c r="K40" s="214"/>
      <c r="L40" s="208"/>
      <c r="M40" s="215"/>
      <c r="N40" s="18"/>
      <c r="O40" s="18"/>
      <c r="P40" s="18"/>
      <c r="Q40" s="18"/>
      <c r="R40" s="18"/>
      <c r="S40" s="18"/>
      <c r="T40" s="18"/>
      <c r="U40" s="18"/>
      <c r="V40" s="18"/>
      <c r="W40" s="18"/>
      <c r="X40" s="18"/>
      <c r="Y40" s="18"/>
      <c r="Z40" s="18"/>
      <c r="AA40" s="18"/>
      <c r="AB40" s="18"/>
      <c r="AC40" s="18"/>
      <c r="AD40" s="18"/>
      <c r="AE40" s="18"/>
      <c r="AF40" s="18"/>
    </row>
    <row r="41" spans="1:32" s="24" customFormat="1" ht="15" customHeight="1">
      <c r="A41" s="25"/>
      <c r="B41" s="26"/>
      <c r="C41" s="26"/>
      <c r="D41" s="27"/>
      <c r="E41" s="27"/>
      <c r="F41" s="27"/>
      <c r="G41" s="27"/>
      <c r="H41" s="27"/>
      <c r="I41" s="27"/>
      <c r="J41" s="27"/>
      <c r="K41" s="28"/>
      <c r="L41" s="29"/>
      <c r="M41" s="20"/>
      <c r="N41" s="23"/>
      <c r="O41" s="23"/>
      <c r="P41" s="23"/>
      <c r="Q41" s="23"/>
      <c r="R41" s="23"/>
      <c r="S41" s="23"/>
      <c r="T41" s="23"/>
      <c r="U41" s="23"/>
      <c r="V41" s="23"/>
      <c r="W41" s="23"/>
      <c r="X41" s="23"/>
      <c r="Y41" s="23"/>
      <c r="Z41" s="23"/>
      <c r="AA41" s="23"/>
      <c r="AB41" s="23"/>
      <c r="AC41" s="23"/>
      <c r="AD41" s="23"/>
      <c r="AE41" s="23"/>
      <c r="AF41" s="23"/>
    </row>
    <row r="42" spans="1:32" s="24" customFormat="1" ht="11.25">
      <c r="A42" s="30"/>
      <c r="B42" s="15"/>
      <c r="C42" s="15"/>
      <c r="D42" s="31"/>
      <c r="E42" s="31"/>
      <c r="F42" s="31"/>
      <c r="G42" s="31"/>
      <c r="H42" s="31"/>
      <c r="I42" s="31"/>
      <c r="J42" s="31"/>
      <c r="K42" s="32"/>
      <c r="L42" s="33"/>
      <c r="N42" s="23"/>
      <c r="O42" s="23"/>
      <c r="P42" s="23"/>
      <c r="Q42" s="23"/>
      <c r="R42" s="23"/>
      <c r="S42" s="23"/>
      <c r="T42" s="23"/>
      <c r="U42" s="23"/>
      <c r="V42" s="23"/>
      <c r="W42" s="23"/>
      <c r="X42" s="23"/>
      <c r="Y42" s="23"/>
      <c r="Z42" s="23"/>
      <c r="AA42" s="23"/>
      <c r="AB42" s="23"/>
      <c r="AC42" s="23"/>
      <c r="AD42" s="23"/>
      <c r="AE42" s="23"/>
      <c r="AF42" s="23"/>
    </row>
    <row r="43" spans="1:14" s="91" customFormat="1" ht="12.75" customHeight="1">
      <c r="A43" s="227" t="s">
        <v>2472</v>
      </c>
      <c r="B43" s="74"/>
      <c r="C43" s="74"/>
      <c r="D43" s="92"/>
      <c r="E43" s="92"/>
      <c r="F43" s="92"/>
      <c r="G43" s="92"/>
      <c r="H43" s="92"/>
      <c r="I43" s="92"/>
      <c r="J43" s="75"/>
      <c r="K43" s="329" t="s">
        <v>2473</v>
      </c>
      <c r="L43" s="329"/>
      <c r="M43" s="229"/>
      <c r="N43" s="229"/>
    </row>
    <row r="44" spans="1:14" s="91" customFormat="1" ht="12.75" customHeight="1">
      <c r="A44" s="63"/>
      <c r="B44" s="74"/>
      <c r="C44" s="74"/>
      <c r="D44" s="331" t="s">
        <v>450</v>
      </c>
      <c r="E44" s="331"/>
      <c r="F44" s="331"/>
      <c r="G44" s="331"/>
      <c r="H44" s="331"/>
      <c r="I44" s="331"/>
      <c r="J44" s="75"/>
      <c r="K44" s="328" t="s">
        <v>324</v>
      </c>
      <c r="L44" s="328"/>
      <c r="M44" s="229"/>
      <c r="N44" s="229"/>
    </row>
    <row r="45" spans="1:14" s="91" customFormat="1" ht="11.25">
      <c r="A45" s="64"/>
      <c r="B45" s="74"/>
      <c r="C45" s="74"/>
      <c r="D45" s="75"/>
      <c r="E45" s="75"/>
      <c r="F45" s="75"/>
      <c r="G45" s="75"/>
      <c r="H45" s="75"/>
      <c r="I45" s="75"/>
      <c r="J45" s="75"/>
      <c r="K45" s="68"/>
      <c r="L45" s="69"/>
      <c r="M45" s="229"/>
      <c r="N45" s="229"/>
    </row>
    <row r="46" spans="1:14" s="91" customFormat="1" ht="12.75" customHeight="1">
      <c r="A46" s="46" t="s">
        <v>2235</v>
      </c>
      <c r="B46" s="76"/>
      <c r="C46" s="76"/>
      <c r="D46" s="92"/>
      <c r="E46" s="92"/>
      <c r="F46" s="92"/>
      <c r="G46" s="92"/>
      <c r="H46" s="92"/>
      <c r="I46" s="92"/>
      <c r="J46" s="77"/>
      <c r="K46" s="329" t="s">
        <v>2236</v>
      </c>
      <c r="L46" s="329"/>
      <c r="M46" s="229"/>
      <c r="N46" s="229"/>
    </row>
    <row r="47" spans="1:14" s="91" customFormat="1" ht="12.75" customHeight="1">
      <c r="A47" s="47" t="s">
        <v>729</v>
      </c>
      <c r="B47" s="76"/>
      <c r="C47" s="76"/>
      <c r="D47" s="331" t="s">
        <v>450</v>
      </c>
      <c r="E47" s="331"/>
      <c r="F47" s="331"/>
      <c r="G47" s="331"/>
      <c r="H47" s="331"/>
      <c r="I47" s="331"/>
      <c r="J47" s="78"/>
      <c r="K47" s="328" t="s">
        <v>324</v>
      </c>
      <c r="L47" s="328"/>
      <c r="M47" s="229"/>
      <c r="N47" s="229"/>
    </row>
    <row r="48" spans="1:14" s="91" customFormat="1" ht="12.75" customHeight="1">
      <c r="A48" s="64"/>
      <c r="B48" s="76"/>
      <c r="C48" s="76"/>
      <c r="D48" s="78"/>
      <c r="E48" s="78"/>
      <c r="F48" s="78"/>
      <c r="G48" s="78"/>
      <c r="H48" s="78"/>
      <c r="I48" s="78"/>
      <c r="J48" s="78"/>
      <c r="K48" s="304"/>
      <c r="L48" s="304"/>
      <c r="M48" s="229"/>
      <c r="N48" s="229"/>
    </row>
    <row r="49" spans="1:14" s="91" customFormat="1" ht="12.75" customHeight="1">
      <c r="A49" s="48" t="s">
        <v>2235</v>
      </c>
      <c r="B49" s="76"/>
      <c r="C49" s="76"/>
      <c r="D49" s="92"/>
      <c r="E49" s="92"/>
      <c r="F49" s="92"/>
      <c r="G49" s="92"/>
      <c r="H49" s="92"/>
      <c r="I49" s="92"/>
      <c r="J49" s="78"/>
      <c r="K49" s="327" t="s">
        <v>2474</v>
      </c>
      <c r="L49" s="327"/>
      <c r="M49" s="229"/>
      <c r="N49" s="229"/>
    </row>
    <row r="50" spans="1:14" s="91" customFormat="1" ht="12.75" customHeight="1">
      <c r="A50" s="65" t="s">
        <v>2237</v>
      </c>
      <c r="B50" s="79"/>
      <c r="C50" s="79"/>
      <c r="D50" s="331" t="s">
        <v>450</v>
      </c>
      <c r="E50" s="331"/>
      <c r="F50" s="331"/>
      <c r="G50" s="331"/>
      <c r="H50" s="331"/>
      <c r="I50" s="331"/>
      <c r="J50" s="78"/>
      <c r="K50" s="328" t="s">
        <v>324</v>
      </c>
      <c r="L50" s="328"/>
      <c r="M50" s="229"/>
      <c r="N50" s="229"/>
    </row>
    <row r="51" spans="1:14" s="91" customFormat="1" ht="12.75" customHeight="1">
      <c r="A51" s="64"/>
      <c r="B51" s="80"/>
      <c r="C51" s="80"/>
      <c r="D51" s="78"/>
      <c r="E51" s="78"/>
      <c r="F51" s="78"/>
      <c r="G51" s="78"/>
      <c r="H51" s="78"/>
      <c r="I51" s="78"/>
      <c r="J51" s="78"/>
      <c r="K51" s="304"/>
      <c r="L51" s="304"/>
      <c r="M51" s="229"/>
      <c r="N51" s="229"/>
    </row>
    <row r="52" spans="1:14" s="91" customFormat="1" ht="12.75" customHeight="1">
      <c r="A52" s="227" t="s">
        <v>2475</v>
      </c>
      <c r="B52" s="80"/>
      <c r="C52" s="80"/>
      <c r="D52" s="92"/>
      <c r="E52" s="92"/>
      <c r="F52" s="92"/>
      <c r="G52" s="92"/>
      <c r="H52" s="92"/>
      <c r="I52" s="92"/>
      <c r="J52" s="78"/>
      <c r="K52" s="329" t="s">
        <v>2476</v>
      </c>
      <c r="L52" s="329"/>
      <c r="M52" s="229"/>
      <c r="N52" s="229"/>
    </row>
    <row r="53" spans="1:14" s="91" customFormat="1" ht="22.5" customHeight="1">
      <c r="A53" s="66"/>
      <c r="B53" s="80"/>
      <c r="C53" s="80"/>
      <c r="D53" s="331" t="s">
        <v>450</v>
      </c>
      <c r="E53" s="331"/>
      <c r="F53" s="331"/>
      <c r="G53" s="331"/>
      <c r="H53" s="331"/>
      <c r="I53" s="331"/>
      <c r="J53" s="78"/>
      <c r="K53" s="328" t="s">
        <v>324</v>
      </c>
      <c r="L53" s="328"/>
      <c r="M53" s="229"/>
      <c r="N53" s="229"/>
    </row>
    <row r="54" spans="1:12" s="230" customFormat="1" ht="12.75">
      <c r="A54" s="67">
        <v>43504</v>
      </c>
      <c r="B54" s="80"/>
      <c r="C54" s="80"/>
      <c r="D54" s="75"/>
      <c r="E54" s="75"/>
      <c r="F54" s="75"/>
      <c r="G54" s="75"/>
      <c r="H54" s="75"/>
      <c r="I54" s="75"/>
      <c r="J54" s="78"/>
      <c r="K54" s="93"/>
      <c r="L54" s="93"/>
    </row>
    <row r="55" spans="1:32" s="9" customFormat="1" ht="11.25">
      <c r="A55" s="37"/>
      <c r="B55" s="36"/>
      <c r="C55" s="36"/>
      <c r="D55" s="27"/>
      <c r="E55" s="27"/>
      <c r="F55" s="27"/>
      <c r="G55" s="27"/>
      <c r="H55" s="27"/>
      <c r="I55" s="31"/>
      <c r="J55" s="27"/>
      <c r="K55" s="35"/>
      <c r="L55" s="35"/>
      <c r="M55" s="8"/>
      <c r="N55" s="8"/>
      <c r="O55" s="8"/>
      <c r="P55" s="8"/>
      <c r="Q55" s="8"/>
      <c r="R55" s="8"/>
      <c r="S55" s="8"/>
      <c r="T55" s="8"/>
      <c r="U55" s="8"/>
      <c r="V55" s="8"/>
      <c r="W55" s="8"/>
      <c r="X55" s="8"/>
      <c r="Y55" s="8"/>
      <c r="Z55" s="8"/>
      <c r="AA55" s="8"/>
      <c r="AB55" s="8"/>
      <c r="AC55" s="8"/>
      <c r="AD55" s="8"/>
      <c r="AE55" s="8"/>
      <c r="AF55" s="8"/>
    </row>
    <row r="56" spans="1:32" s="9" customFormat="1" ht="11.25">
      <c r="A56" s="25"/>
      <c r="B56" s="330"/>
      <c r="C56" s="330"/>
      <c r="D56" s="330"/>
      <c r="E56" s="330"/>
      <c r="F56" s="330"/>
      <c r="G56" s="330"/>
      <c r="H56" s="330"/>
      <c r="I56" s="330"/>
      <c r="J56" s="330"/>
      <c r="K56" s="38"/>
      <c r="L56" s="38"/>
      <c r="M56" s="8"/>
      <c r="N56" s="8"/>
      <c r="O56" s="8"/>
      <c r="P56" s="8"/>
      <c r="Q56" s="8"/>
      <c r="R56" s="8"/>
      <c r="S56" s="8"/>
      <c r="T56" s="8"/>
      <c r="U56" s="8"/>
      <c r="V56" s="8"/>
      <c r="W56" s="8"/>
      <c r="X56" s="8"/>
      <c r="Y56" s="8"/>
      <c r="Z56" s="8"/>
      <c r="AA56" s="8"/>
      <c r="AB56" s="8"/>
      <c r="AC56" s="8"/>
      <c r="AD56" s="8"/>
      <c r="AE56" s="8"/>
      <c r="AF56" s="8"/>
    </row>
    <row r="57" spans="1:32" s="9" customFormat="1" ht="11.25">
      <c r="A57" s="39"/>
      <c r="B57" s="34"/>
      <c r="C57" s="34"/>
      <c r="D57" s="27"/>
      <c r="E57" s="27"/>
      <c r="F57" s="27"/>
      <c r="G57" s="27"/>
      <c r="H57" s="27"/>
      <c r="I57" s="27"/>
      <c r="J57" s="27"/>
      <c r="K57" s="43">
        <f>Доходы!K16-Расходы!D6+Источники!K9</f>
        <v>0</v>
      </c>
      <c r="L57" s="43">
        <f>Доходы!L16-Расходы!E6+Источники!L9</f>
        <v>9.834766387939453E-07</v>
      </c>
      <c r="M57" s="8"/>
      <c r="N57" s="8"/>
      <c r="O57" s="8"/>
      <c r="P57" s="8"/>
      <c r="Q57" s="8"/>
      <c r="R57" s="8"/>
      <c r="S57" s="8"/>
      <c r="T57" s="8"/>
      <c r="U57" s="8"/>
      <c r="V57" s="8"/>
      <c r="W57" s="8"/>
      <c r="X57" s="8"/>
      <c r="Y57" s="8"/>
      <c r="Z57" s="8"/>
      <c r="AA57" s="8"/>
      <c r="AB57" s="8"/>
      <c r="AC57" s="8"/>
      <c r="AD57" s="8"/>
      <c r="AE57" s="8"/>
      <c r="AF57" s="8"/>
    </row>
    <row r="58" spans="1:32" s="9" customFormat="1" ht="11.25">
      <c r="A58" s="40"/>
      <c r="B58" s="41"/>
      <c r="C58" s="41"/>
      <c r="D58" s="27"/>
      <c r="E58" s="27"/>
      <c r="F58" s="27"/>
      <c r="G58" s="27"/>
      <c r="H58" s="27"/>
      <c r="I58" s="27"/>
      <c r="J58" s="27"/>
      <c r="K58" s="44">
        <f>Расходы!D1636+Источники!K9</f>
        <v>1.1920928955078125E-07</v>
      </c>
      <c r="L58" s="44">
        <f>Расходы!E1636+Источники!L9</f>
        <v>5.21540641784668E-07</v>
      </c>
      <c r="M58" s="8"/>
      <c r="N58" s="8"/>
      <c r="O58" s="8"/>
      <c r="P58" s="8"/>
      <c r="Q58" s="8"/>
      <c r="R58" s="8"/>
      <c r="S58" s="8"/>
      <c r="T58" s="8"/>
      <c r="U58" s="8"/>
      <c r="V58" s="8"/>
      <c r="W58" s="8"/>
      <c r="X58" s="8"/>
      <c r="Y58" s="8"/>
      <c r="Z58" s="8"/>
      <c r="AA58" s="8"/>
      <c r="AB58" s="8"/>
      <c r="AC58" s="8"/>
      <c r="AD58" s="8"/>
      <c r="AE58" s="8"/>
      <c r="AF58" s="8"/>
    </row>
    <row r="59" spans="1:32" s="9" customFormat="1" ht="11.25">
      <c r="A59" s="40"/>
      <c r="B59" s="41"/>
      <c r="C59" s="41"/>
      <c r="D59" s="27"/>
      <c r="E59" s="27"/>
      <c r="F59" s="27"/>
      <c r="G59" s="27"/>
      <c r="H59" s="27"/>
      <c r="I59" s="27"/>
      <c r="J59" s="27"/>
      <c r="K59" s="35"/>
      <c r="L59" s="35"/>
      <c r="M59" s="8"/>
      <c r="N59" s="8"/>
      <c r="O59" s="8"/>
      <c r="P59" s="8"/>
      <c r="Q59" s="8"/>
      <c r="R59" s="8"/>
      <c r="S59" s="8"/>
      <c r="T59" s="8"/>
      <c r="U59" s="8"/>
      <c r="V59" s="8"/>
      <c r="W59" s="8"/>
      <c r="X59" s="8"/>
      <c r="Y59" s="8"/>
      <c r="Z59" s="8"/>
      <c r="AA59" s="8"/>
      <c r="AB59" s="8"/>
      <c r="AC59" s="8"/>
      <c r="AD59" s="8"/>
      <c r="AE59" s="8"/>
      <c r="AF59" s="8"/>
    </row>
    <row r="60" spans="1:32" s="9" customFormat="1" ht="11.25">
      <c r="A60" s="40"/>
      <c r="B60" s="41"/>
      <c r="C60" s="41"/>
      <c r="D60" s="27"/>
      <c r="E60" s="27"/>
      <c r="F60" s="27"/>
      <c r="G60" s="27"/>
      <c r="H60" s="27"/>
      <c r="I60" s="27"/>
      <c r="J60" s="27"/>
      <c r="K60" s="35"/>
      <c r="L60" s="35"/>
      <c r="M60" s="8"/>
      <c r="N60" s="8"/>
      <c r="O60" s="8"/>
      <c r="P60" s="8"/>
      <c r="Q60" s="8"/>
      <c r="R60" s="8"/>
      <c r="S60" s="8"/>
      <c r="T60" s="8"/>
      <c r="U60" s="8"/>
      <c r="V60" s="8"/>
      <c r="W60" s="8"/>
      <c r="X60" s="8"/>
      <c r="Y60" s="8"/>
      <c r="Z60" s="8"/>
      <c r="AA60" s="8"/>
      <c r="AB60" s="8"/>
      <c r="AC60" s="8"/>
      <c r="AD60" s="8"/>
      <c r="AE60" s="8"/>
      <c r="AF60" s="8"/>
    </row>
    <row r="61" spans="1:32" s="9" customFormat="1" ht="11.25">
      <c r="A61" s="40"/>
      <c r="B61" s="41"/>
      <c r="C61" s="41"/>
      <c r="D61" s="27"/>
      <c r="E61" s="27"/>
      <c r="F61" s="27"/>
      <c r="G61" s="27"/>
      <c r="H61" s="27"/>
      <c r="I61" s="27"/>
      <c r="J61" s="27"/>
      <c r="K61" s="35"/>
      <c r="L61" s="35"/>
      <c r="M61" s="8"/>
      <c r="N61" s="8"/>
      <c r="O61" s="8"/>
      <c r="P61" s="8"/>
      <c r="Q61" s="8"/>
      <c r="R61" s="8"/>
      <c r="S61" s="8"/>
      <c r="T61" s="8"/>
      <c r="U61" s="8"/>
      <c r="V61" s="8"/>
      <c r="W61" s="8"/>
      <c r="X61" s="8"/>
      <c r="Y61" s="8"/>
      <c r="Z61" s="8"/>
      <c r="AA61" s="8"/>
      <c r="AB61" s="8"/>
      <c r="AC61" s="8"/>
      <c r="AD61" s="8"/>
      <c r="AE61" s="8"/>
      <c r="AF61" s="8"/>
    </row>
    <row r="62" spans="1:32" s="9" customFormat="1" ht="19.5" customHeight="1">
      <c r="A62" s="40"/>
      <c r="B62" s="41"/>
      <c r="C62" s="41"/>
      <c r="D62" s="27"/>
      <c r="E62" s="27"/>
      <c r="F62" s="27"/>
      <c r="G62" s="27"/>
      <c r="H62" s="27"/>
      <c r="I62" s="27"/>
      <c r="J62" s="27"/>
      <c r="K62" s="35"/>
      <c r="L62" s="35"/>
      <c r="M62" s="8"/>
      <c r="N62" s="8"/>
      <c r="O62" s="8"/>
      <c r="P62" s="8"/>
      <c r="Q62" s="8"/>
      <c r="R62" s="8"/>
      <c r="S62" s="8"/>
      <c r="T62" s="8"/>
      <c r="U62" s="8"/>
      <c r="V62" s="8"/>
      <c r="W62" s="8"/>
      <c r="X62" s="8"/>
      <c r="Y62" s="8"/>
      <c r="Z62" s="8"/>
      <c r="AA62" s="8"/>
      <c r="AB62" s="8"/>
      <c r="AC62" s="8"/>
      <c r="AD62" s="8"/>
      <c r="AE62" s="8"/>
      <c r="AF62" s="8"/>
    </row>
    <row r="63" ht="11.25">
      <c r="K63" s="1"/>
    </row>
    <row r="64" ht="11.25">
      <c r="K64" s="1"/>
    </row>
    <row r="65" ht="11.25">
      <c r="K65" s="42"/>
    </row>
    <row r="66" spans="11:12" ht="11.25">
      <c r="K66" s="1"/>
      <c r="L66" s="2"/>
    </row>
    <row r="67" spans="11:12" ht="11.25">
      <c r="K67" s="1"/>
      <c r="L67" s="2"/>
    </row>
    <row r="68" ht="11.25">
      <c r="K68" s="42"/>
    </row>
    <row r="71" ht="11.25">
      <c r="K71" s="42"/>
    </row>
  </sheetData>
  <sheetProtection/>
  <mergeCells count="26">
    <mergeCell ref="A4:M4"/>
    <mergeCell ref="A6:A7"/>
    <mergeCell ref="B6:B7"/>
    <mergeCell ref="C6:J7"/>
    <mergeCell ref="K6:K7"/>
    <mergeCell ref="M6:M7"/>
    <mergeCell ref="L6:L7"/>
    <mergeCell ref="D47:I47"/>
    <mergeCell ref="K47:L47"/>
    <mergeCell ref="D44:I44"/>
    <mergeCell ref="C8:J8"/>
    <mergeCell ref="C9:J9"/>
    <mergeCell ref="C11:J11"/>
    <mergeCell ref="C27:J27"/>
    <mergeCell ref="C10:J10"/>
    <mergeCell ref="C12:J12"/>
    <mergeCell ref="K49:L49"/>
    <mergeCell ref="K53:L53"/>
    <mergeCell ref="K43:L43"/>
    <mergeCell ref="B56:J56"/>
    <mergeCell ref="D50:I50"/>
    <mergeCell ref="K50:L50"/>
    <mergeCell ref="K52:L52"/>
    <mergeCell ref="D53:I53"/>
    <mergeCell ref="K44:L44"/>
    <mergeCell ref="K46:L46"/>
  </mergeCells>
  <printOptions horizontalCentered="1"/>
  <pageMargins left="0.7874015748031497" right="0.3937007874015748" top="0.3937007874015748" bottom="0.3937007874015748" header="0.31496062992125984" footer="0.31496062992125984"/>
  <pageSetup blackAndWhite="1"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dc:creator>
  <cp:keywords/>
  <dc:description/>
  <cp:lastModifiedBy>Виталий В. Райш</cp:lastModifiedBy>
  <cp:lastPrinted>2018-12-05T10:14:37Z</cp:lastPrinted>
  <dcterms:created xsi:type="dcterms:W3CDTF">2012-11-06T05:09:16Z</dcterms:created>
  <dcterms:modified xsi:type="dcterms:W3CDTF">2019-02-04T06:25:32Z</dcterms:modified>
  <cp:category/>
  <cp:version/>
  <cp:contentType/>
  <cp:contentStatus/>
</cp:coreProperties>
</file>